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 codeName="{B6124F1A-AFFB-F854-7757-9A1D4C6FC43C}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7193b3e345e505a/Desktop/"/>
    </mc:Choice>
  </mc:AlternateContent>
  <xr:revisionPtr revIDLastSave="0" documentId="8_{483D4B75-80C9-4113-8088-AA6CFF8C52E3}" xr6:coauthVersionLast="47" xr6:coauthVersionMax="47" xr10:uidLastSave="{00000000-0000-0000-0000-000000000000}"/>
  <bookViews>
    <workbookView xWindow="-108" yWindow="-108" windowWidth="23256" windowHeight="12456" activeTab="1" xr2:uid="{28C8E690-9776-41DF-8850-E5A314884E37}"/>
  </bookViews>
  <sheets>
    <sheet name="Accueil" sheetId="3" r:id="rId1"/>
    <sheet name="Dimensionnement" sheetId="2" r:id="rId2"/>
    <sheet name="Logistique" sheetId="6" state="hidden" r:id="rId3"/>
    <sheet name="Données" sheetId="4" state="hidden" r:id="rId4"/>
  </sheets>
  <externalReferences>
    <externalReference r:id="rId5"/>
  </externalReferences>
  <definedNames>
    <definedName name="choix_etriers">Données!$H$2:$Q$10</definedName>
    <definedName name="Nombre_kits">Données!$B$4:$B$204</definedName>
    <definedName name="_xlnm.Print_Area" localSheetId="1">Dimensionnement!$A$1:$I$54</definedName>
    <definedName name="Ref_art">Logistique!$C$3:$D$51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8" i="4" l="1"/>
  <c r="J27" i="4"/>
  <c r="J26" i="4"/>
  <c r="Q18" i="4" l="1"/>
  <c r="Q17" i="4"/>
  <c r="Q16" i="4"/>
  <c r="Q15" i="4"/>
  <c r="E45" i="2"/>
  <c r="E44" i="2"/>
  <c r="E43" i="2"/>
  <c r="C48" i="2"/>
  <c r="E48" i="2" s="1"/>
  <c r="J20" i="4" l="1"/>
  <c r="J19" i="4"/>
  <c r="C47" i="2"/>
  <c r="J21" i="4" l="1"/>
  <c r="P15" i="4" l="1"/>
  <c r="P18" i="4"/>
  <c r="P17" i="4"/>
  <c r="P16" i="4"/>
  <c r="J16" i="4"/>
  <c r="J18" i="4"/>
  <c r="J17" i="4"/>
  <c r="J15" i="4"/>
  <c r="H47" i="2"/>
  <c r="E38" i="2"/>
  <c r="H41" i="2"/>
  <c r="K16" i="4" l="1"/>
  <c r="M16" i="4"/>
  <c r="M15" i="4"/>
  <c r="L15" i="4"/>
  <c r="K15" i="4"/>
  <c r="L16" i="4"/>
  <c r="K17" i="4"/>
  <c r="L17" i="4"/>
  <c r="M17" i="4"/>
  <c r="K18" i="4"/>
  <c r="M18" i="4"/>
  <c r="L18" i="4"/>
  <c r="H38" i="2"/>
  <c r="L33" i="2"/>
  <c r="H33" i="2"/>
  <c r="E17" i="2"/>
  <c r="N17" i="4" l="1"/>
  <c r="N16" i="4"/>
  <c r="H44" i="2"/>
  <c r="N15" i="4"/>
  <c r="N18" i="4"/>
  <c r="H45" i="2"/>
  <c r="I45" i="2" s="1"/>
  <c r="H43" i="2"/>
  <c r="I33" i="2"/>
  <c r="H46" i="2" l="1"/>
  <c r="L35" i="2"/>
  <c r="L36" i="2" s="1"/>
  <c r="H35" i="2"/>
  <c r="I35" i="2" s="1"/>
  <c r="L39" i="2"/>
  <c r="L40" i="2" s="1"/>
  <c r="L34" i="2"/>
  <c r="H51" i="2"/>
  <c r="I51" i="2" s="1"/>
  <c r="E51" i="2"/>
  <c r="H50" i="2"/>
  <c r="I50" i="2" s="1"/>
  <c r="E50" i="2"/>
  <c r="H36" i="2" l="1"/>
  <c r="I36" i="2" s="1"/>
  <c r="H34" i="2"/>
  <c r="I34" i="2" s="1"/>
  <c r="H39" i="2"/>
  <c r="E33" i="2"/>
  <c r="H40" i="2" l="1"/>
  <c r="I40" i="2" s="1"/>
  <c r="I39" i="2"/>
  <c r="E40" i="2"/>
  <c r="E39" i="2"/>
  <c r="E36" i="2"/>
  <c r="E35" i="2"/>
  <c r="E34" i="2"/>
  <c r="I47" i="2" l="1"/>
  <c r="I38" i="2"/>
  <c r="I41" i="2"/>
  <c r="E47" i="2"/>
  <c r="E46" i="2" l="1"/>
  <c r="E41" i="2"/>
  <c r="E32" i="2"/>
  <c r="E31" i="2"/>
  <c r="E30" i="2"/>
  <c r="E29" i="2"/>
  <c r="E26" i="2"/>
  <c r="E28" i="2"/>
  <c r="E27" i="2"/>
  <c r="H26" i="2" l="1"/>
  <c r="I26" i="2" s="1"/>
  <c r="E18" i="2" l="1"/>
  <c r="I44" i="2"/>
  <c r="M33" i="2"/>
  <c r="M34" i="2" s="1"/>
  <c r="K33" i="2"/>
  <c r="K34" i="2" s="1"/>
  <c r="H48" i="2"/>
  <c r="I48" i="2" s="1"/>
  <c r="M39" i="2"/>
  <c r="K39" i="2"/>
  <c r="K40" i="2" s="1"/>
  <c r="H27" i="2"/>
  <c r="I27" i="2" s="1"/>
  <c r="H28" i="2"/>
  <c r="I28" i="2" s="1"/>
  <c r="H29" i="2"/>
  <c r="I29" i="2" s="1"/>
  <c r="H30" i="2"/>
  <c r="I30" i="2" s="1"/>
  <c r="H31" i="2"/>
  <c r="I31" i="2" s="1"/>
  <c r="H32" i="2"/>
  <c r="I32" i="2" s="1"/>
  <c r="I46" i="2" l="1"/>
  <c r="I43" i="2"/>
  <c r="K35" i="2"/>
  <c r="K36" i="2" s="1"/>
  <c r="M35" i="2"/>
  <c r="M36" i="2" s="1"/>
  <c r="C6" i="4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H53" i="2" l="1"/>
  <c r="M40" i="2"/>
</calcChain>
</file>

<file path=xl/sharedStrings.xml><?xml version="1.0" encoding="utf-8"?>
<sst xmlns="http://schemas.openxmlformats.org/spreadsheetml/2006/main" count="312" uniqueCount="230">
  <si>
    <t>DESIGNATION</t>
  </si>
  <si>
    <t>PROFIL_CAISSON_FRO</t>
  </si>
  <si>
    <t>PROFILE_LATERAL_CA</t>
  </si>
  <si>
    <t>PROFIL_FOND_CAISSO</t>
  </si>
  <si>
    <t>EQUERRE_FRONTALE</t>
  </si>
  <si>
    <t>EQUERRE_ ARRIERE</t>
  </si>
  <si>
    <t>CORNIERE_L_FIXE</t>
  </si>
  <si>
    <t>CORNIERE _L_AJUSTAB</t>
  </si>
  <si>
    <t>PROFILE_Z_</t>
  </si>
  <si>
    <t>CORNIERES_RACCOR</t>
  </si>
  <si>
    <t>BOULONS_SERR_AUTOB</t>
  </si>
  <si>
    <t>ECROUS_ROND_SERRAG</t>
  </si>
  <si>
    <t>VIS_FIXA_MODULE</t>
  </si>
  <si>
    <t>ECROUSROND_SERRAGE</t>
  </si>
  <si>
    <t>BOULONS_FIX_CORNI</t>
  </si>
  <si>
    <t>ECROUS_SERRAGE_AUT</t>
  </si>
  <si>
    <t>GALVA_SPRAY_CLAIR</t>
  </si>
  <si>
    <t>NUM.</t>
  </si>
  <si>
    <t>CONN_RAIL_VIS</t>
  </si>
  <si>
    <t>ED_ALU_30/40MM</t>
  </si>
  <si>
    <t>ES_ALU_35MM</t>
  </si>
  <si>
    <t>OUI</t>
  </si>
  <si>
    <t>NON</t>
  </si>
  <si>
    <t>ALU</t>
  </si>
  <si>
    <t>NOIR</t>
  </si>
  <si>
    <t>ED_NOIR_30/40MM</t>
  </si>
  <si>
    <t>ES_ALU_32MM</t>
  </si>
  <si>
    <t>ES_NOIR_32MM</t>
  </si>
  <si>
    <t>ES_NOIR_35MM</t>
  </si>
  <si>
    <t>ES_ALU_38MM</t>
  </si>
  <si>
    <t>ES_NOIR_38MM</t>
  </si>
  <si>
    <t>ES_ALU_40MM</t>
  </si>
  <si>
    <t>ES_NOIR_40MM</t>
  </si>
  <si>
    <t>ED_ALU_40/46MM</t>
  </si>
  <si>
    <t>ED_NOIR_40/46MM</t>
  </si>
  <si>
    <t>ES_ALU_42MM</t>
  </si>
  <si>
    <t>ES_NOIR_42MM</t>
  </si>
  <si>
    <t>ES_ALU_46MM</t>
  </si>
  <si>
    <t>ES_NOIR_46MM</t>
  </si>
  <si>
    <t>REFERENCE SAGE</t>
  </si>
  <si>
    <t>REFERENCE NAV</t>
  </si>
  <si>
    <t>DESIGNATION GSE</t>
  </si>
  <si>
    <t>GROUND SYSTEM</t>
  </si>
  <si>
    <t>KIT_AUTOC2</t>
  </si>
  <si>
    <t>ART101545</t>
  </si>
  <si>
    <t>KIT_AUTOC</t>
  </si>
  <si>
    <t>ART100496</t>
  </si>
  <si>
    <t>KIT_AUTOC1</t>
  </si>
  <si>
    <t>ART101363</t>
  </si>
  <si>
    <t>OPTION_SUP_ARRIERE</t>
  </si>
  <si>
    <t>ART101525</t>
  </si>
  <si>
    <t>ART100499</t>
  </si>
  <si>
    <t>ART100087</t>
  </si>
  <si>
    <t>ART100439</t>
  </si>
  <si>
    <t>ART100002</t>
  </si>
  <si>
    <t>ART100036</t>
  </si>
  <si>
    <t>ART100631</t>
  </si>
  <si>
    <t>ART100848</t>
  </si>
  <si>
    <t>ART101132</t>
  </si>
  <si>
    <t>ART100938</t>
  </si>
  <si>
    <t>ART100213</t>
  </si>
  <si>
    <t>ART100426</t>
  </si>
  <si>
    <t>ART100743</t>
  </si>
  <si>
    <t>ART100125</t>
  </si>
  <si>
    <t>ART101184</t>
  </si>
  <si>
    <t>ART101025</t>
  </si>
  <si>
    <t>Ref SAGE</t>
  </si>
  <si>
    <t>Ref NAVISION</t>
  </si>
  <si>
    <t>RAIL_OR_2.10_40X60</t>
  </si>
  <si>
    <t>ART100511</t>
  </si>
  <si>
    <t>ART101145</t>
  </si>
  <si>
    <t>ART101573</t>
  </si>
  <si>
    <t>ART101240</t>
  </si>
  <si>
    <t>ART101495</t>
  </si>
  <si>
    <t>ART101574</t>
  </si>
  <si>
    <t>ART101076</t>
  </si>
  <si>
    <t>ART101575</t>
  </si>
  <si>
    <t>ART100261</t>
  </si>
  <si>
    <t>ART101576</t>
  </si>
  <si>
    <t>ART101577</t>
  </si>
  <si>
    <t>ART100411</t>
  </si>
  <si>
    <t>ES_NOIR_ 35MM</t>
  </si>
  <si>
    <t>ART100064</t>
  </si>
  <si>
    <t>ART101578</t>
  </si>
  <si>
    <t>ART100007</t>
  </si>
  <si>
    <t>ART101579</t>
  </si>
  <si>
    <t>ART101580</t>
  </si>
  <si>
    <t>Finition étriers  :</t>
  </si>
  <si>
    <t>global</t>
  </si>
  <si>
    <t>SST01-CT02 V2</t>
  </si>
  <si>
    <t>ART102852</t>
  </si>
  <si>
    <t>SST01-CL03 V2</t>
  </si>
  <si>
    <t>ART102859</t>
  </si>
  <si>
    <t>SST01-CB01 V2</t>
  </si>
  <si>
    <t>ART102866</t>
  </si>
  <si>
    <t>SST01-AF01 V2</t>
  </si>
  <si>
    <t>ART102873</t>
  </si>
  <si>
    <t>SST01-AP02 V2</t>
  </si>
  <si>
    <t>ART102880</t>
  </si>
  <si>
    <t>ART100778</t>
  </si>
  <si>
    <t>ART104665</t>
  </si>
  <si>
    <t>ES_NOIR_30MM</t>
  </si>
  <si>
    <t>RAIL ON ROOF</t>
  </si>
  <si>
    <t>GSE DESIGNATION</t>
  </si>
  <si>
    <t>RAIL ON ROOF 40X60 - 2.40 M</t>
  </si>
  <si>
    <t>2,40 m</t>
  </si>
  <si>
    <t>3,15 m</t>
  </si>
  <si>
    <t>ART104707</t>
  </si>
  <si>
    <t>Columns (C) :</t>
  </si>
  <si>
    <t>Rows (L) :</t>
  </si>
  <si>
    <t>CORNER PIECE  L (THICKNESS 2mm) FIXED LENGTH 550mm v2</t>
  </si>
  <si>
    <t>CORNER PIECE L (THICKNESS 2mm) ADJUSTABLE LENGTH 1233mm v2</t>
  </si>
  <si>
    <t>M6 SCREW AND WASHER TIGHTNING  - FIX. CORNER (100pcs)</t>
  </si>
  <si>
    <t>M6 WASHER FOR M6 SCREW (100pcs)</t>
  </si>
  <si>
    <t>M10 PANS NUT WITH BINDING WASHER FOR M10 SCREW (20pcs)</t>
  </si>
  <si>
    <t>M8 PANS NUT WITH BINDING WASHER OFR M8 SCREW (20pcs)</t>
  </si>
  <si>
    <t>JUNCTION CORNER PIECE FOR Z BAR</t>
  </si>
  <si>
    <t>RAIL CONNECTOR ON ROOF + 4 x SCREW</t>
  </si>
  <si>
    <t>DOUBLE CLAMP ALU 30/40MM - ON ROOF</t>
  </si>
  <si>
    <t>DOUBLE CLAMP ALU 40/46MM - ON ROOF</t>
  </si>
  <si>
    <t>DOUBLE CLAMP BLACK 30/40MM - ON ROOF</t>
  </si>
  <si>
    <t>DOUBLE CLAMP BLACK 40/46MM - ON ROOF</t>
  </si>
  <si>
    <t>SIMPLE CLAMP ALU 32MM - ON ROOF</t>
  </si>
  <si>
    <t>SIMPLE CLAMP ALU 35MM - ON ROOF</t>
  </si>
  <si>
    <t>SIMPLE CLAMP ALU 38MM - ON ROOF</t>
  </si>
  <si>
    <t>SIMPLE CLAMP ALU 40MM - ON ROOF</t>
  </si>
  <si>
    <t>SIMPLE CLAMP ALU 42MM - ON ROOF</t>
  </si>
  <si>
    <t>SIMPLE CLAMP ALU 46MM - ON ROOF</t>
  </si>
  <si>
    <t>SIMPLE CLAMP BLACK 30MM - ON ROOF</t>
  </si>
  <si>
    <t>SIMPLE CLAMP BLACK 32MM - ON ROOF</t>
  </si>
  <si>
    <t>SIMPLE CLAMP BLACK 35MM - ON ROOF</t>
  </si>
  <si>
    <t>SIMPLE CLAMP BLACK 38MM - ON ROOF</t>
  </si>
  <si>
    <t>SIMPLE CLAMP BLACK 40MM - ON ROOF</t>
  </si>
  <si>
    <t>SIMPLE CLAMP BLACK 42MM - ON ROOF</t>
  </si>
  <si>
    <t>SIMPLE CLAMP BLACK 46MM - ON ROOF</t>
  </si>
  <si>
    <t>Solar Panel :</t>
  </si>
  <si>
    <t>Number of modules :</t>
  </si>
  <si>
    <t>Total power :</t>
  </si>
  <si>
    <r>
      <t xml:space="preserve">If you have selected the fixation type "Clamps (Rails On-Roof)", </t>
    </r>
    <r>
      <rPr>
        <b/>
        <sz val="11"/>
        <color theme="1"/>
        <rFont val="Calibri"/>
        <family val="2"/>
        <scheme val="minor"/>
      </rPr>
      <t>pick rail lengthes you would wish for the conception of your structur</t>
    </r>
    <r>
      <rPr>
        <sz val="11"/>
        <color theme="1"/>
        <rFont val="Calibri"/>
        <family val="2"/>
        <scheme val="minor"/>
      </rPr>
      <t xml:space="preserve">e: </t>
    </r>
  </si>
  <si>
    <t>Choice of rail 1 to prioritize :</t>
  </si>
  <si>
    <t>Choice of rail 2 (secundary) :</t>
  </si>
  <si>
    <t>Height :</t>
  </si>
  <si>
    <t>Width :</t>
  </si>
  <si>
    <t>Thickness :</t>
  </si>
  <si>
    <t>Power :</t>
  </si>
  <si>
    <t>Corrosion protection spray :</t>
  </si>
  <si>
    <t>Back fixation support kit :</t>
  </si>
  <si>
    <t>2 panels</t>
  </si>
  <si>
    <t>4 panels</t>
  </si>
  <si>
    <t>6 panels</t>
  </si>
  <si>
    <t>Fixation type :</t>
  </si>
  <si>
    <t>Clamps (Rails On-Roof)</t>
  </si>
  <si>
    <t>Frame bolting (Z Bar)</t>
  </si>
  <si>
    <t>Sizing per piece</t>
  </si>
  <si>
    <t>Sizing per kit</t>
  </si>
  <si>
    <t>Project reference :</t>
  </si>
  <si>
    <t>GSEI Code</t>
  </si>
  <si>
    <t xml:space="preserve">Distrib. Code </t>
  </si>
  <si>
    <t>UNIT PRICE</t>
  </si>
  <si>
    <t>QUANTITY</t>
  </si>
  <si>
    <t>TOTAL PRICE</t>
  </si>
  <si>
    <t>Total Price :</t>
  </si>
  <si>
    <t>per kit</t>
  </si>
  <si>
    <t>Useful Screws</t>
  </si>
  <si>
    <t>Cdt rounded</t>
  </si>
  <si>
    <t>Z BAR OPTION</t>
  </si>
  <si>
    <t>ON ROOF OPTION : RAILS + CLAMPS</t>
  </si>
  <si>
    <t>ACCESSORIES</t>
  </si>
  <si>
    <t>On-Roof Option</t>
  </si>
  <si>
    <t>Z Bar Option</t>
  </si>
  <si>
    <t>ON ROOF OPTION: RAILS + CLAMPS</t>
  </si>
  <si>
    <t>Number</t>
  </si>
  <si>
    <t>Number 2 by 2</t>
  </si>
  <si>
    <t>Clamps</t>
  </si>
  <si>
    <t>Choice</t>
  </si>
  <si>
    <t>Protection Box</t>
  </si>
  <si>
    <t>Color</t>
  </si>
  <si>
    <t>DOUBLE CLAMP ALU</t>
  </si>
  <si>
    <t>DOUBLE CLAMP BLACK</t>
  </si>
  <si>
    <t>SIMPLE CLAMP ALU</t>
  </si>
  <si>
    <t>SIMPLE CLAMP BLACK</t>
  </si>
  <si>
    <t xml:space="preserve"> RAILS' LENGTH</t>
  </si>
  <si>
    <t>Z BAR</t>
  </si>
  <si>
    <t>Nber of 2m40 rail</t>
  </si>
  <si>
    <t>Nber of 3m15 rail</t>
  </si>
  <si>
    <t>Rail connector</t>
  </si>
  <si>
    <r>
      <rPr>
        <i/>
        <sz val="11"/>
        <color theme="1"/>
        <rFont val="Calibri"/>
        <family val="2"/>
        <scheme val="minor"/>
      </rPr>
      <t xml:space="preserve">Rail length needed for </t>
    </r>
    <r>
      <rPr>
        <b/>
        <i/>
        <sz val="11"/>
        <color theme="5"/>
        <rFont val="Calibri"/>
        <family val="2"/>
        <scheme val="minor"/>
      </rPr>
      <t>sizing per piece</t>
    </r>
    <r>
      <rPr>
        <b/>
        <i/>
        <sz val="11"/>
        <color theme="1"/>
        <rFont val="Calibri"/>
        <family val="2"/>
        <scheme val="minor"/>
      </rPr>
      <t>*</t>
    </r>
  </si>
  <si>
    <t>Rail to prioritize</t>
  </si>
  <si>
    <t>Rail (secondary) available</t>
  </si>
  <si>
    <t>Rails' difference: limit of the remainder</t>
  </si>
  <si>
    <r>
      <rPr>
        <i/>
        <sz val="11"/>
        <color theme="1"/>
        <rFont val="Calibri"/>
        <family val="2"/>
        <scheme val="minor"/>
      </rPr>
      <t>Rail length needed for</t>
    </r>
    <r>
      <rPr>
        <b/>
        <i/>
        <sz val="11"/>
        <color theme="1"/>
        <rFont val="Calibri"/>
        <family val="2"/>
        <scheme val="minor"/>
      </rPr>
      <t xml:space="preserve"> pour </t>
    </r>
    <r>
      <rPr>
        <b/>
        <i/>
        <sz val="11"/>
        <color theme="5"/>
        <rFont val="Calibri"/>
        <family val="2"/>
        <scheme val="minor"/>
      </rPr>
      <t>configuration personnalisée</t>
    </r>
  </si>
  <si>
    <t>Z Bar</t>
  </si>
  <si>
    <t>Number of 2m32 rail</t>
  </si>
  <si>
    <r>
      <rPr>
        <b/>
        <i/>
        <sz val="11"/>
        <color theme="1"/>
        <rFont val="Calibri"/>
        <family val="2"/>
        <scheme val="minor"/>
      </rPr>
      <t>*If L=54</t>
    </r>
    <r>
      <rPr>
        <i/>
        <sz val="11"/>
        <color theme="1"/>
        <rFont val="Calibri"/>
        <family val="2"/>
        <scheme val="minor"/>
      </rPr>
      <t xml:space="preserve">, then the rail length needed must be considered </t>
    </r>
    <r>
      <rPr>
        <b/>
        <i/>
        <sz val="11"/>
        <color theme="1"/>
        <rFont val="Calibri"/>
        <family val="2"/>
        <scheme val="minor"/>
      </rPr>
      <t>null.</t>
    </r>
    <r>
      <rPr>
        <i/>
        <sz val="11"/>
        <color theme="1"/>
        <rFont val="Calibri"/>
        <family val="2"/>
        <scheme val="minor"/>
      </rPr>
      <t xml:space="preserve"> </t>
    </r>
  </si>
  <si>
    <t>Rails - Choice 1</t>
  </si>
  <si>
    <t>Rails - Choice 2</t>
  </si>
  <si>
    <t>CORNER PIECE  L (THICKNESS 2mm) FIXED LENGTH 550mm</t>
  </si>
  <si>
    <t>CORNER PIECE L (THICKNESS 2mm) ADJUSTABLE LENGTH 1233mm</t>
  </si>
  <si>
    <t>ANTI-CORROSIVE PROTECTION SPRAY 400mL</t>
  </si>
  <si>
    <t>KIT GROUND SYSTEM - 2 PANELS</t>
  </si>
  <si>
    <t>KIT GROUND SYSTEM - 4 PANELS</t>
  </si>
  <si>
    <t>KIT GROUND SYSTEM - 6 PANELS</t>
  </si>
  <si>
    <t>BACK FIXING SUPPORT KIT - GROUND SYSTEM</t>
  </si>
  <si>
    <t>FRONT AND BACK WALL OF BALLASTING BOX (THICKNESS 1mm)</t>
  </si>
  <si>
    <t>RIGHT AND LEFT SIDE WALL OF BALLASTING BOX (THICKNESS 1mm)</t>
  </si>
  <si>
    <t>BOTTOM WALL OF BALLASTING BOX (THICKNESS 1mm)</t>
  </si>
  <si>
    <t>FRONT FIXING SQUARE BOTTOM PART (THICKNESS 3mm)</t>
  </si>
  <si>
    <t>BACK FIXING SQUARE TOP PART (THICKNESS 3mm)</t>
  </si>
  <si>
    <r>
      <t xml:space="preserve">Z BAR SUPPORT FOR PV PANEL (THICKNESS 3mm x L </t>
    </r>
    <r>
      <rPr>
        <b/>
        <i/>
        <sz val="12"/>
        <color theme="9"/>
        <rFont val="Calibri"/>
        <family val="2"/>
        <scheme val="minor"/>
      </rPr>
      <t>2320</t>
    </r>
    <r>
      <rPr>
        <sz val="12"/>
        <color theme="1"/>
        <rFont val="Calibri"/>
        <family val="2"/>
        <scheme val="minor"/>
      </rPr>
      <t xml:space="preserve">mm) </t>
    </r>
  </si>
  <si>
    <t>M10 PANS BOLT WITH AUTOBLOCKING BINDING WASHER FOR FIXING SQUARE &amp; JUNCTION CORNER PIECE(20pcs)</t>
  </si>
  <si>
    <t>M8 ROUNDED-HEAD SCREW - MODULE FIXING / "Z" PAN (20pcs)</t>
  </si>
  <si>
    <t>FRONT AND BACK WALL OF BALLASTING BOX (THICKNESS 1mm) V2</t>
  </si>
  <si>
    <t>RIGHT AND LEFT SIDE WALL OF BALLASTING BOX (THICKNESS 1mm) V2</t>
  </si>
  <si>
    <t>BOTTOM WALL OF BALLASTING BOX (THICKNESS 1mm) V2</t>
  </si>
  <si>
    <r>
      <rPr>
        <i/>
        <sz val="11"/>
        <color theme="1"/>
        <rFont val="Calibri"/>
        <family val="2"/>
        <scheme val="minor"/>
      </rPr>
      <t xml:space="preserve">Rail length needed for </t>
    </r>
    <r>
      <rPr>
        <b/>
        <i/>
        <sz val="11"/>
        <color theme="4"/>
        <rFont val="Calibri"/>
        <family val="2"/>
        <scheme val="minor"/>
      </rPr>
      <t>2 panels kit</t>
    </r>
    <r>
      <rPr>
        <b/>
        <i/>
        <sz val="11"/>
        <color theme="1"/>
        <rFont val="Calibri"/>
        <family val="2"/>
        <scheme val="minor"/>
      </rPr>
      <t>*</t>
    </r>
  </si>
  <si>
    <r>
      <rPr>
        <i/>
        <sz val="11"/>
        <color theme="1"/>
        <rFont val="Calibri"/>
        <family val="2"/>
        <scheme val="minor"/>
      </rPr>
      <t xml:space="preserve">Rail length needed for </t>
    </r>
    <r>
      <rPr>
        <b/>
        <i/>
        <sz val="11"/>
        <color theme="7"/>
        <rFont val="Calibri"/>
        <family val="2"/>
        <scheme val="minor"/>
      </rPr>
      <t>4 panels kit</t>
    </r>
    <r>
      <rPr>
        <b/>
        <i/>
        <sz val="11"/>
        <color theme="1"/>
        <rFont val="Calibri"/>
        <family val="2"/>
        <scheme val="minor"/>
      </rPr>
      <t>*</t>
    </r>
  </si>
  <si>
    <r>
      <rPr>
        <i/>
        <sz val="11"/>
        <color theme="1"/>
        <rFont val="Calibri"/>
        <family val="2"/>
        <scheme val="minor"/>
      </rPr>
      <t xml:space="preserve">Rail length needed for </t>
    </r>
    <r>
      <rPr>
        <b/>
        <i/>
        <sz val="11"/>
        <color theme="9"/>
        <rFont val="Calibri"/>
        <family val="2"/>
        <scheme val="minor"/>
      </rPr>
      <t>6 panels kit</t>
    </r>
    <r>
      <rPr>
        <b/>
        <i/>
        <sz val="11"/>
        <color theme="1"/>
        <rFont val="Calibri"/>
        <family val="2"/>
        <scheme val="minor"/>
      </rPr>
      <t>*</t>
    </r>
  </si>
  <si>
    <t>ART104406</t>
  </si>
  <si>
    <t>3,58 m</t>
  </si>
  <si>
    <t>Nber of 3m58 rail</t>
  </si>
  <si>
    <r>
      <rPr>
        <i/>
        <sz val="11"/>
        <color theme="1"/>
        <rFont val="Calibri"/>
        <family val="2"/>
        <scheme val="minor"/>
      </rPr>
      <t xml:space="preserve">Rail length needed for </t>
    </r>
    <r>
      <rPr>
        <b/>
        <i/>
        <sz val="11"/>
        <color theme="4"/>
        <rFont val="Calibri"/>
        <family val="2"/>
        <scheme val="minor"/>
      </rPr>
      <t>2 panels kit</t>
    </r>
    <r>
      <rPr>
        <b/>
        <i/>
        <sz val="11"/>
        <rFont val="Calibri"/>
        <family val="2"/>
        <scheme val="minor"/>
      </rPr>
      <t>*</t>
    </r>
  </si>
  <si>
    <r>
      <rPr>
        <i/>
        <sz val="11"/>
        <color theme="1"/>
        <rFont val="Calibri"/>
        <family val="2"/>
        <scheme val="minor"/>
      </rPr>
      <t xml:space="preserve">Rail length needed for </t>
    </r>
    <r>
      <rPr>
        <b/>
        <i/>
        <sz val="11"/>
        <color theme="7"/>
        <rFont val="Calibri"/>
        <family val="2"/>
        <scheme val="minor"/>
      </rPr>
      <t>4 panels kit</t>
    </r>
    <r>
      <rPr>
        <b/>
        <i/>
        <sz val="11"/>
        <rFont val="Calibri"/>
        <family val="2"/>
        <scheme val="minor"/>
      </rPr>
      <t>*</t>
    </r>
  </si>
  <si>
    <r>
      <rPr>
        <i/>
        <sz val="11"/>
        <color theme="1"/>
        <rFont val="Calibri"/>
        <family val="2"/>
        <scheme val="minor"/>
      </rPr>
      <t xml:space="preserve">Rail length needed for </t>
    </r>
    <r>
      <rPr>
        <b/>
        <i/>
        <sz val="11"/>
        <color theme="9"/>
        <rFont val="Calibri"/>
        <family val="2"/>
        <scheme val="minor"/>
      </rPr>
      <t>6 panels kit</t>
    </r>
    <r>
      <rPr>
        <b/>
        <i/>
        <sz val="11"/>
        <rFont val="Calibri"/>
        <family val="2"/>
        <scheme val="minor"/>
      </rPr>
      <t>*</t>
    </r>
  </si>
  <si>
    <t>RAIL ON ROOF 40X60 - 3.15 M</t>
  </si>
  <si>
    <t>ART105078</t>
  </si>
  <si>
    <t>RAIL ON ROOF 40x60 - 3.58 M</t>
  </si>
  <si>
    <t>RAIL_OR_3.15_40X60</t>
  </si>
  <si>
    <t>RAIL_OR_3.58_40X60</t>
  </si>
  <si>
    <t>//</t>
  </si>
  <si>
    <t xml:space="preserve">                             WARNING: Choose rail 1 to prioritize before choosing rail 2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</si>
</sst>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€&quot;_-;\-* #,##0.00\ &quot;€&quot;_-;_-* &quot;-&quot;??\ &quot;€&quot;_-;_-@_-"/>
    <numFmt numFmtId="165" formatCode="0&quot; kWc&quot;"/>
    <numFmt numFmtId="166" formatCode="0&quot; mm&quot;"/>
    <numFmt numFmtId="167" formatCode="0&quot; Wc&quot;"/>
    <numFmt numFmtId="168" formatCode="0.00&quot; kWc&quot;"/>
  </numFmts>
  <fonts count="36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6"/>
      <name val="Calibri"/>
      <family val="2"/>
      <scheme val="minor"/>
    </font>
    <font>
      <sz val="12"/>
      <name val="Calibri"/>
      <family val="2"/>
      <scheme val="minor"/>
    </font>
    <font>
      <sz val="12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4"/>
      <name val="Calibri"/>
      <family val="2"/>
      <scheme val="minor"/>
    </font>
    <font>
      <b/>
      <i/>
      <sz val="11"/>
      <color theme="7"/>
      <name val="Calibri"/>
      <family val="2"/>
      <scheme val="minor"/>
    </font>
    <font>
      <b/>
      <i/>
      <sz val="11"/>
      <color theme="9"/>
      <name val="Calibri"/>
      <family val="2"/>
      <scheme val="minor"/>
    </font>
    <font>
      <b/>
      <i/>
      <sz val="11"/>
      <color theme="5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2"/>
      <color theme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i/>
      <sz val="1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ACACA"/>
        <bgColor indexed="64"/>
      </patternFill>
    </fill>
    <fill>
      <patternFill patternType="solid">
        <fgColor rgb="FFFFFF8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196D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65">
    <border>
      <left/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rgb="FF00206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medium">
        <color rgb="FF00206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rgb="FF002060"/>
      </right>
      <top style="medium">
        <color rgb="FF002060"/>
      </top>
      <bottom style="thin">
        <color indexed="64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auto="1"/>
      </right>
      <top style="thin">
        <color rgb="FF002060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46">
    <xf numFmtId="0" fontId="0" fillId="0" borderId="0" xfId="0"/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2" xfId="0" applyBorder="1" applyAlignment="1">
      <alignment horizontal="center" vertical="center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5" fillId="0" borderId="0" xfId="0" applyFont="1"/>
    <xf numFmtId="0" fontId="7" fillId="4" borderId="9" xfId="0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5" fillId="0" borderId="13" xfId="0" applyFont="1" applyBorder="1" applyAlignment="1">
      <alignment horizontal="center"/>
    </xf>
    <xf numFmtId="0" fontId="0" fillId="4" borderId="13" xfId="0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/>
    <xf numFmtId="0" fontId="0" fillId="7" borderId="8" xfId="0" applyFill="1" applyBorder="1"/>
    <xf numFmtId="0" fontId="9" fillId="7" borderId="7" xfId="0" applyFont="1" applyFill="1" applyBorder="1" applyAlignment="1"/>
    <xf numFmtId="0" fontId="0" fillId="2" borderId="22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Fill="1" applyProtection="1"/>
    <xf numFmtId="0" fontId="0" fillId="20" borderId="23" xfId="0" applyFill="1" applyBorder="1" applyAlignment="1">
      <alignment horizontal="center" vertical="center"/>
    </xf>
    <xf numFmtId="0" fontId="0" fillId="20" borderId="2" xfId="0" applyFill="1" applyBorder="1" applyAlignment="1">
      <alignment horizontal="center" vertical="center"/>
    </xf>
    <xf numFmtId="0" fontId="0" fillId="20" borderId="24" xfId="0" applyFill="1" applyBorder="1" applyAlignment="1">
      <alignment horizontal="center" vertical="center"/>
    </xf>
    <xf numFmtId="0" fontId="0" fillId="20" borderId="12" xfId="0" applyFill="1" applyBorder="1" applyAlignment="1">
      <alignment horizontal="center" vertical="center"/>
    </xf>
    <xf numFmtId="167" fontId="0" fillId="19" borderId="13" xfId="0" applyNumberFormat="1" applyFill="1" applyBorder="1" applyAlignment="1" applyProtection="1">
      <alignment horizontal="center" vertical="center"/>
      <protection locked="0"/>
    </xf>
    <xf numFmtId="166" fontId="10" fillId="19" borderId="42" xfId="0" applyNumberFormat="1" applyFont="1" applyFill="1" applyBorder="1" applyAlignment="1" applyProtection="1">
      <alignment horizontal="center" vertical="center"/>
      <protection locked="0"/>
    </xf>
    <xf numFmtId="0" fontId="0" fillId="19" borderId="2" xfId="0" applyNumberFormat="1" applyFill="1" applyBorder="1" applyAlignment="1" applyProtection="1">
      <alignment horizontal="center" vertical="center"/>
      <protection locked="0"/>
    </xf>
    <xf numFmtId="0" fontId="0" fillId="19" borderId="13" xfId="0" applyNumberForma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27" xfId="0" applyFill="1" applyBorder="1" applyAlignment="1" applyProtection="1">
      <alignment horizontal="center" vertical="center"/>
      <protection locked="0"/>
    </xf>
    <xf numFmtId="0" fontId="0" fillId="0" borderId="17" xfId="0" applyFill="1" applyBorder="1" applyAlignment="1" applyProtection="1">
      <alignment horizontal="center" vertical="center"/>
      <protection locked="0"/>
    </xf>
    <xf numFmtId="0" fontId="0" fillId="0" borderId="18" xfId="0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21" fillId="24" borderId="0" xfId="0" applyFont="1" applyFill="1" applyBorder="1" applyAlignment="1">
      <alignment horizontal="left" vertical="center"/>
    </xf>
    <xf numFmtId="0" fontId="21" fillId="24" borderId="0" xfId="0" applyFont="1" applyFill="1"/>
    <xf numFmtId="0" fontId="0" fillId="25" borderId="0" xfId="0" applyFill="1"/>
    <xf numFmtId="0" fontId="21" fillId="25" borderId="0" xfId="0" applyFont="1" applyFill="1"/>
    <xf numFmtId="0" fontId="0" fillId="0" borderId="46" xfId="0" applyBorder="1"/>
    <xf numFmtId="0" fontId="0" fillId="0" borderId="47" xfId="0" applyBorder="1"/>
    <xf numFmtId="0" fontId="21" fillId="10" borderId="0" xfId="0" applyFont="1" applyFill="1"/>
    <xf numFmtId="0" fontId="23" fillId="26" borderId="2" xfId="0" applyFont="1" applyFill="1" applyBorder="1" applyAlignment="1">
      <alignment vertical="center"/>
    </xf>
    <xf numFmtId="0" fontId="23" fillId="26" borderId="48" xfId="0" applyFont="1" applyFill="1" applyBorder="1" applyAlignment="1">
      <alignment vertical="center"/>
    </xf>
    <xf numFmtId="0" fontId="23" fillId="0" borderId="0" xfId="0" applyFont="1" applyBorder="1" applyAlignment="1">
      <alignment vertical="center" wrapText="1"/>
    </xf>
    <xf numFmtId="0" fontId="0" fillId="0" borderId="51" xfId="0" applyFont="1" applyBorder="1"/>
    <xf numFmtId="0" fontId="0" fillId="0" borderId="52" xfId="0" applyFont="1" applyBorder="1"/>
    <xf numFmtId="0" fontId="0" fillId="0" borderId="54" xfId="0" applyFont="1" applyBorder="1"/>
    <xf numFmtId="0" fontId="0" fillId="0" borderId="56" xfId="0" applyFont="1" applyBorder="1"/>
    <xf numFmtId="0" fontId="23" fillId="26" borderId="17" xfId="0" applyFont="1" applyFill="1" applyBorder="1" applyAlignment="1">
      <alignment vertical="center"/>
    </xf>
    <xf numFmtId="0" fontId="23" fillId="26" borderId="12" xfId="0" applyFont="1" applyFill="1" applyBorder="1" applyAlignment="1">
      <alignment vertical="center"/>
    </xf>
    <xf numFmtId="0" fontId="23" fillId="26" borderId="18" xfId="0" applyFont="1" applyFill="1" applyBorder="1" applyAlignment="1">
      <alignment vertical="center"/>
    </xf>
    <xf numFmtId="0" fontId="22" fillId="26" borderId="38" xfId="0" applyFont="1" applyFill="1" applyBorder="1" applyAlignment="1">
      <alignment wrapText="1"/>
    </xf>
    <xf numFmtId="0" fontId="22" fillId="26" borderId="57" xfId="0" applyFont="1" applyFill="1" applyBorder="1" applyAlignment="1">
      <alignment wrapText="1"/>
    </xf>
    <xf numFmtId="0" fontId="22" fillId="26" borderId="52" xfId="0" applyFont="1" applyFill="1" applyBorder="1" applyAlignment="1">
      <alignment wrapText="1"/>
    </xf>
    <xf numFmtId="0" fontId="23" fillId="26" borderId="9" xfId="0" applyFont="1" applyFill="1" applyBorder="1" applyAlignment="1">
      <alignment vertical="center" wrapText="1"/>
    </xf>
    <xf numFmtId="0" fontId="23" fillId="26" borderId="53" xfId="0" applyFont="1" applyFill="1" applyBorder="1" applyAlignment="1">
      <alignment vertical="center"/>
    </xf>
    <xf numFmtId="0" fontId="23" fillId="26" borderId="58" xfId="0" applyFont="1" applyFill="1" applyBorder="1" applyAlignment="1">
      <alignment vertical="center" wrapText="1"/>
    </xf>
    <xf numFmtId="0" fontId="23" fillId="26" borderId="54" xfId="0" applyFont="1" applyFill="1" applyBorder="1" applyAlignment="1">
      <alignment vertical="center" wrapText="1"/>
    </xf>
    <xf numFmtId="0" fontId="28" fillId="10" borderId="45" xfId="0" applyFont="1" applyFill="1" applyBorder="1"/>
    <xf numFmtId="0" fontId="22" fillId="26" borderId="53" xfId="0" applyFont="1" applyFill="1" applyBorder="1" applyAlignment="1">
      <alignment wrapText="1"/>
    </xf>
    <xf numFmtId="0" fontId="22" fillId="26" borderId="58" xfId="0" applyFont="1" applyFill="1" applyBorder="1" applyAlignment="1">
      <alignment wrapText="1"/>
    </xf>
    <xf numFmtId="0" fontId="22" fillId="26" borderId="54" xfId="0" applyFont="1" applyFill="1" applyBorder="1" applyAlignment="1">
      <alignment wrapText="1"/>
    </xf>
    <xf numFmtId="0" fontId="23" fillId="26" borderId="39" xfId="0" applyFont="1" applyFill="1" applyBorder="1" applyAlignment="1">
      <alignment vertical="center"/>
    </xf>
    <xf numFmtId="0" fontId="23" fillId="26" borderId="21" xfId="0" applyFont="1" applyFill="1" applyBorder="1" applyAlignment="1">
      <alignment vertical="center" wrapText="1"/>
    </xf>
    <xf numFmtId="0" fontId="23" fillId="26" borderId="59" xfId="0" applyFont="1" applyFill="1" applyBorder="1" applyAlignment="1">
      <alignment vertical="center" wrapText="1"/>
    </xf>
    <xf numFmtId="0" fontId="23" fillId="26" borderId="58" xfId="0" applyFont="1" applyFill="1" applyBorder="1" applyAlignment="1">
      <alignment vertical="center"/>
    </xf>
    <xf numFmtId="0" fontId="23" fillId="26" borderId="54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21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5" borderId="41" xfId="0" applyFont="1" applyFill="1" applyBorder="1" applyAlignment="1">
      <alignment horizontal="center" vertical="center"/>
    </xf>
    <xf numFmtId="0" fontId="0" fillId="0" borderId="13" xfId="0" applyBorder="1"/>
    <xf numFmtId="0" fontId="0" fillId="0" borderId="53" xfId="0" applyBorder="1"/>
    <xf numFmtId="0" fontId="0" fillId="0" borderId="58" xfId="0" applyBorder="1"/>
    <xf numFmtId="0" fontId="0" fillId="0" borderId="54" xfId="0" applyBorder="1"/>
    <xf numFmtId="0" fontId="5" fillId="20" borderId="20" xfId="0" applyFont="1" applyFill="1" applyBorder="1" applyAlignment="1">
      <alignment horizontal="center" vertical="center"/>
    </xf>
    <xf numFmtId="0" fontId="0" fillId="20" borderId="58" xfId="0" applyFill="1" applyBorder="1"/>
    <xf numFmtId="0" fontId="0" fillId="20" borderId="54" xfId="0" applyFill="1" applyBorder="1"/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25" borderId="46" xfId="0" applyFont="1" applyFill="1" applyBorder="1"/>
    <xf numFmtId="0" fontId="28" fillId="25" borderId="62" xfId="0" applyFont="1" applyFill="1" applyBorder="1"/>
    <xf numFmtId="0" fontId="28" fillId="25" borderId="47" xfId="0" applyFont="1" applyFill="1" applyBorder="1"/>
    <xf numFmtId="0" fontId="23" fillId="26" borderId="61" xfId="0" applyFont="1" applyFill="1" applyBorder="1" applyAlignment="1">
      <alignment vertical="center"/>
    </xf>
    <xf numFmtId="0" fontId="23" fillId="26" borderId="23" xfId="0" applyFont="1" applyFill="1" applyBorder="1" applyAlignment="1">
      <alignment vertical="center"/>
    </xf>
    <xf numFmtId="0" fontId="23" fillId="26" borderId="24" xfId="0" applyFont="1" applyFill="1" applyBorder="1" applyAlignment="1">
      <alignment vertical="center"/>
    </xf>
    <xf numFmtId="0" fontId="23" fillId="26" borderId="9" xfId="0" applyFont="1" applyFill="1" applyBorder="1" applyAlignment="1">
      <alignment vertical="center"/>
    </xf>
    <xf numFmtId="0" fontId="0" fillId="0" borderId="14" xfId="0" applyBorder="1"/>
    <xf numFmtId="0" fontId="5" fillId="0" borderId="13" xfId="0" applyFont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5" fillId="4" borderId="41" xfId="0" applyFont="1" applyFill="1" applyBorder="1" applyAlignment="1">
      <alignment horizontal="center" vertical="center"/>
    </xf>
    <xf numFmtId="0" fontId="0" fillId="20" borderId="26" xfId="0" applyFill="1" applyBorder="1" applyAlignment="1">
      <alignment horizontal="center" vertical="center"/>
    </xf>
    <xf numFmtId="0" fontId="0" fillId="20" borderId="13" xfId="0" applyFill="1" applyBorder="1" applyAlignment="1">
      <alignment horizontal="center" vertical="center"/>
    </xf>
    <xf numFmtId="0" fontId="5" fillId="20" borderId="43" xfId="0" applyFont="1" applyFill="1" applyBorder="1" applyAlignment="1">
      <alignment horizontal="center" vertical="center"/>
    </xf>
    <xf numFmtId="0" fontId="0" fillId="20" borderId="56" xfId="0" applyFill="1" applyBorder="1"/>
    <xf numFmtId="0" fontId="0" fillId="0" borderId="12" xfId="0" applyBorder="1"/>
    <xf numFmtId="0" fontId="23" fillId="26" borderId="49" xfId="0" applyFont="1" applyFill="1" applyBorder="1" applyAlignment="1">
      <alignment wrapText="1"/>
    </xf>
    <xf numFmtId="0" fontId="23" fillId="26" borderId="55" xfId="0" applyFont="1" applyFill="1" applyBorder="1" applyAlignment="1">
      <alignment vertical="center"/>
    </xf>
    <xf numFmtId="0" fontId="0" fillId="28" borderId="0" xfId="0" applyFill="1"/>
    <xf numFmtId="0" fontId="7" fillId="4" borderId="20" xfId="0" applyFont="1" applyFill="1" applyBorder="1" applyAlignment="1">
      <alignment horizontal="center" vertical="center"/>
    </xf>
    <xf numFmtId="0" fontId="34" fillId="28" borderId="0" xfId="0" applyFont="1" applyFill="1"/>
    <xf numFmtId="167" fontId="31" fillId="27" borderId="5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0" fillId="0" borderId="26" xfId="0" applyFill="1" applyBorder="1" applyAlignment="1" applyProtection="1">
      <alignment horizontal="center" vertical="center"/>
      <protection hidden="1"/>
    </xf>
    <xf numFmtId="0" fontId="0" fillId="0" borderId="19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23" xfId="0" applyFill="1" applyBorder="1" applyAlignment="1" applyProtection="1">
      <alignment horizontal="center" vertical="center"/>
      <protection hidden="1"/>
    </xf>
    <xf numFmtId="0" fontId="0" fillId="0" borderId="11" xfId="0" applyFill="1" applyBorder="1" applyAlignment="1" applyProtection="1">
      <alignment horizontal="center" vertical="center"/>
      <protection hidden="1"/>
    </xf>
    <xf numFmtId="0" fontId="0" fillId="0" borderId="24" xfId="0" applyFill="1" applyBorder="1" applyAlignment="1" applyProtection="1">
      <alignment horizontal="center" vertical="center"/>
      <protection hidden="1"/>
    </xf>
    <xf numFmtId="0" fontId="0" fillId="0" borderId="14" xfId="0" applyFill="1" applyBorder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0" fontId="0" fillId="0" borderId="14" xfId="0" applyFill="1" applyBorder="1" applyProtection="1">
      <protection hidden="1"/>
    </xf>
    <xf numFmtId="0" fontId="0" fillId="0" borderId="16" xfId="0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right" vertical="center"/>
      <protection hidden="1"/>
    </xf>
    <xf numFmtId="0" fontId="0" fillId="0" borderId="25" xfId="0" applyFill="1" applyBorder="1" applyAlignment="1" applyProtection="1">
      <alignment horizontal="center" vertical="center"/>
      <protection hidden="1"/>
    </xf>
    <xf numFmtId="0" fontId="0" fillId="2" borderId="13" xfId="0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right" vertical="center"/>
      <protection hidden="1"/>
    </xf>
    <xf numFmtId="0" fontId="11" fillId="0" borderId="0" xfId="0" applyFont="1" applyFill="1" applyAlignment="1" applyProtection="1">
      <alignment horizontal="right" vertical="center"/>
      <protection hidden="1"/>
    </xf>
    <xf numFmtId="0" fontId="0" fillId="0" borderId="0" xfId="0" applyFill="1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2" fillId="0" borderId="2" xfId="0" applyFont="1" applyFill="1" applyBorder="1" applyAlignment="1" applyProtection="1">
      <alignment horizontal="center"/>
      <protection hidden="1"/>
    </xf>
    <xf numFmtId="166" fontId="10" fillId="0" borderId="21" xfId="0" applyNumberFormat="1" applyFont="1" applyFill="1" applyBorder="1" applyAlignment="1" applyProtection="1">
      <alignment horizontal="center" vertical="center"/>
      <protection hidden="1"/>
    </xf>
    <xf numFmtId="168" fontId="0" fillId="0" borderId="2" xfId="0" applyNumberFormat="1" applyFill="1" applyBorder="1" applyAlignment="1" applyProtection="1">
      <alignment horizontal="center" vertical="center"/>
      <protection hidden="1"/>
    </xf>
    <xf numFmtId="168" fontId="0" fillId="0" borderId="0" xfId="0" applyNumberFormat="1" applyFill="1" applyBorder="1" applyAlignment="1" applyProtection="1">
      <alignment horizontal="center" vertical="center"/>
      <protection hidden="1"/>
    </xf>
    <xf numFmtId="167" fontId="0" fillId="0" borderId="0" xfId="0" applyNumberForma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right" vertical="center"/>
      <protection hidden="1"/>
    </xf>
    <xf numFmtId="167" fontId="32" fillId="4" borderId="0" xfId="0" applyNumberFormat="1" applyFont="1" applyFill="1" applyBorder="1" applyAlignment="1" applyProtection="1">
      <alignment vertical="center"/>
      <protection hidden="1"/>
    </xf>
    <xf numFmtId="167" fontId="32" fillId="0" borderId="0" xfId="0" applyNumberFormat="1" applyFont="1" applyFill="1" applyBorder="1" applyAlignment="1" applyProtection="1">
      <alignment horizontal="right" vertical="center"/>
      <protection hidden="1"/>
    </xf>
    <xf numFmtId="167" fontId="31" fillId="4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Fill="1" applyBorder="1" applyAlignment="1" applyProtection="1">
      <alignment vertical="center" wrapText="1"/>
      <protection hidden="1"/>
    </xf>
    <xf numFmtId="165" fontId="0" fillId="0" borderId="0" xfId="0" applyNumberFormat="1" applyBorder="1" applyProtection="1"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0" fillId="10" borderId="13" xfId="0" applyFont="1" applyFill="1" applyBorder="1" applyAlignment="1" applyProtection="1">
      <alignment horizontal="center" vertical="center" wrapText="1"/>
      <protection hidden="1"/>
    </xf>
    <xf numFmtId="0" fontId="0" fillId="4" borderId="13" xfId="0" applyFill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164" fontId="2" fillId="0" borderId="42" xfId="1" applyFont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10" fillId="10" borderId="2" xfId="0" applyFont="1" applyFill="1" applyBorder="1" applyAlignment="1" applyProtection="1">
      <alignment horizontal="center" vertical="center" wrapText="1"/>
      <protection hidden="1"/>
    </xf>
    <xf numFmtId="0" fontId="0" fillId="4" borderId="2" xfId="0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164" fontId="2" fillId="0" borderId="2" xfId="1" applyFont="1" applyBorder="1" applyAlignment="1" applyProtection="1">
      <alignment horizontal="center" vertical="center"/>
      <protection hidden="1"/>
    </xf>
    <xf numFmtId="0" fontId="2" fillId="0" borderId="0" xfId="0" quotePrefix="1" applyFont="1" applyFill="1" applyBorder="1" applyAlignment="1" applyProtection="1">
      <alignment horizontal="center"/>
      <protection hidden="1"/>
    </xf>
    <xf numFmtId="0" fontId="10" fillId="11" borderId="2" xfId="0" applyFont="1" applyFill="1" applyBorder="1" applyAlignment="1" applyProtection="1">
      <alignment horizontal="center" vertical="center" wrapText="1"/>
      <protection hidden="1"/>
    </xf>
    <xf numFmtId="0" fontId="10" fillId="12" borderId="2" xfId="0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Border="1" applyAlignment="1" applyProtection="1">
      <alignment horizontal="center" vertical="center"/>
      <protection hidden="1"/>
    </xf>
    <xf numFmtId="0" fontId="17" fillId="23" borderId="32" xfId="0" applyFont="1" applyFill="1" applyBorder="1" applyAlignment="1" applyProtection="1">
      <alignment horizontal="center" vertical="center"/>
      <protection hidden="1"/>
    </xf>
    <xf numFmtId="0" fontId="17" fillId="23" borderId="33" xfId="0" applyFont="1" applyFill="1" applyBorder="1" applyAlignment="1" applyProtection="1">
      <alignment horizontal="center" vertical="center"/>
      <protection hidden="1"/>
    </xf>
    <xf numFmtId="0" fontId="10" fillId="13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16" fillId="0" borderId="32" xfId="0" applyFont="1" applyBorder="1" applyAlignment="1" applyProtection="1">
      <alignment horizontal="center" vertical="center"/>
      <protection hidden="1"/>
    </xf>
    <xf numFmtId="0" fontId="15" fillId="0" borderId="33" xfId="0" applyFont="1" applyBorder="1" applyAlignment="1" applyProtection="1">
      <alignment horizontal="center" vertical="center"/>
      <protection hidden="1"/>
    </xf>
    <xf numFmtId="0" fontId="10" fillId="7" borderId="2" xfId="0" applyFont="1" applyFill="1" applyBorder="1" applyAlignment="1" applyProtection="1">
      <alignment horizontal="center" vertical="center" wrapText="1"/>
      <protection hidden="1"/>
    </xf>
    <xf numFmtId="0" fontId="16" fillId="0" borderId="34" xfId="0" applyFont="1" applyBorder="1" applyAlignment="1" applyProtection="1">
      <alignment horizontal="center" vertical="center"/>
      <protection hidden="1"/>
    </xf>
    <xf numFmtId="0" fontId="15" fillId="0" borderId="35" xfId="0" applyFont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3" fillId="0" borderId="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15" borderId="13" xfId="0" applyFill="1" applyBorder="1" applyAlignment="1" applyProtection="1">
      <alignment horizontal="center" vertical="center"/>
      <protection hidden="1"/>
    </xf>
    <xf numFmtId="164" fontId="2" fillId="0" borderId="13" xfId="1" applyFont="1" applyBorder="1" applyAlignment="1" applyProtection="1">
      <alignment horizontal="center" vertical="center"/>
      <protection hidden="1"/>
    </xf>
    <xf numFmtId="0" fontId="0" fillId="16" borderId="2" xfId="0" applyFill="1" applyBorder="1" applyAlignment="1" applyProtection="1">
      <alignment horizontal="center" vertical="center"/>
      <protection hidden="1"/>
    </xf>
    <xf numFmtId="0" fontId="16" fillId="0" borderId="36" xfId="0" applyFont="1" applyBorder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16" fillId="0" borderId="11" xfId="0" applyFont="1" applyBorder="1" applyAlignment="1" applyProtection="1">
      <alignment horizontal="center" vertical="center"/>
      <protection hidden="1"/>
    </xf>
    <xf numFmtId="0" fontId="0" fillId="17" borderId="2" xfId="0" applyFill="1" applyBorder="1" applyAlignment="1" applyProtection="1">
      <alignment horizontal="center" vertical="center"/>
      <protection hidden="1"/>
    </xf>
    <xf numFmtId="0" fontId="13" fillId="0" borderId="0" xfId="0" applyFont="1" applyBorder="1" applyProtection="1">
      <protection hidden="1"/>
    </xf>
    <xf numFmtId="0" fontId="0" fillId="20" borderId="13" xfId="0" applyFill="1" applyBorder="1" applyAlignment="1" applyProtection="1">
      <alignment horizontal="center" vertical="center"/>
      <protection hidden="1"/>
    </xf>
    <xf numFmtId="0" fontId="17" fillId="21" borderId="2" xfId="0" applyFont="1" applyFill="1" applyBorder="1" applyAlignment="1" applyProtection="1">
      <alignment horizontal="center" vertical="center"/>
      <protection hidden="1"/>
    </xf>
    <xf numFmtId="0" fontId="17" fillId="22" borderId="2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10" fillId="18" borderId="13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right"/>
      <protection hidden="1"/>
    </xf>
    <xf numFmtId="0" fontId="31" fillId="27" borderId="53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hidden="1"/>
    </xf>
    <xf numFmtId="0" fontId="0" fillId="19" borderId="13" xfId="0" applyFill="1" applyBorder="1" applyAlignment="1" applyProtection="1">
      <alignment vertical="center"/>
      <protection locked="0" hidden="1"/>
    </xf>
    <xf numFmtId="0" fontId="0" fillId="19" borderId="2" xfId="0" applyFill="1" applyBorder="1" applyAlignment="1" applyProtection="1">
      <alignment vertical="center"/>
      <protection locked="0" hidden="1"/>
    </xf>
    <xf numFmtId="164" fontId="0" fillId="19" borderId="13" xfId="1" applyFont="1" applyFill="1" applyBorder="1" applyAlignment="1" applyProtection="1">
      <alignment vertical="center"/>
      <protection locked="0" hidden="1"/>
    </xf>
    <xf numFmtId="0" fontId="33" fillId="11" borderId="0" xfId="0" applyFont="1" applyFill="1" applyAlignment="1" applyProtection="1">
      <alignment horizontal="center" vertical="center"/>
      <protection hidden="1"/>
    </xf>
    <xf numFmtId="0" fontId="33" fillId="14" borderId="0" xfId="0" applyFont="1" applyFill="1" applyBorder="1" applyAlignment="1" applyProtection="1">
      <alignment horizontal="center" vertical="center"/>
      <protection hidden="1"/>
    </xf>
    <xf numFmtId="0" fontId="17" fillId="23" borderId="30" xfId="0" applyFont="1" applyFill="1" applyBorder="1" applyAlignment="1" applyProtection="1">
      <alignment horizontal="center" vertical="center"/>
      <protection hidden="1"/>
    </xf>
    <xf numFmtId="0" fontId="17" fillId="23" borderId="31" xfId="0" applyFont="1" applyFill="1" applyBorder="1" applyAlignment="1" applyProtection="1">
      <alignment horizontal="center" vertical="center"/>
      <protection hidden="1"/>
    </xf>
    <xf numFmtId="0" fontId="8" fillId="0" borderId="28" xfId="0" applyFont="1" applyBorder="1" applyAlignment="1" applyProtection="1">
      <alignment horizontal="center"/>
      <protection hidden="1"/>
    </xf>
    <xf numFmtId="0" fontId="8" fillId="0" borderId="29" xfId="0" applyFont="1" applyBorder="1" applyAlignment="1" applyProtection="1">
      <alignment horizontal="center"/>
      <protection hidden="1"/>
    </xf>
    <xf numFmtId="0" fontId="0" fillId="14" borderId="20" xfId="0" applyFill="1" applyBorder="1" applyAlignment="1" applyProtection="1">
      <alignment horizontal="center" vertical="center"/>
      <protection locked="0"/>
    </xf>
    <xf numFmtId="0" fontId="0" fillId="14" borderId="11" xfId="0" applyFill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0" fillId="0" borderId="20" xfId="0" applyFill="1" applyBorder="1" applyAlignment="1" applyProtection="1">
      <alignment horizontal="left" vertical="center" wrapText="1"/>
      <protection hidden="1"/>
    </xf>
    <xf numFmtId="0" fontId="0" fillId="0" borderId="11" xfId="0" applyFill="1" applyBorder="1" applyAlignment="1" applyProtection="1">
      <alignment horizontal="left" vertical="center" wrapText="1"/>
      <protection hidden="1"/>
    </xf>
    <xf numFmtId="0" fontId="5" fillId="19" borderId="2" xfId="0" applyFont="1" applyFill="1" applyBorder="1" applyAlignment="1" applyProtection="1">
      <alignment horizontal="center" vertical="center"/>
      <protection locked="0"/>
    </xf>
    <xf numFmtId="0" fontId="0" fillId="0" borderId="43" xfId="0" applyFill="1" applyBorder="1" applyAlignment="1" applyProtection="1">
      <alignment horizontal="left" vertical="center" wrapText="1"/>
      <protection hidden="1"/>
    </xf>
    <xf numFmtId="0" fontId="0" fillId="0" borderId="19" xfId="0" applyFill="1" applyBorder="1" applyAlignment="1" applyProtection="1">
      <alignment horizontal="left" vertical="center" wrapText="1"/>
      <protection hidden="1"/>
    </xf>
    <xf numFmtId="0" fontId="8" fillId="0" borderId="38" xfId="0" applyFont="1" applyFill="1" applyBorder="1" applyAlignment="1" applyProtection="1">
      <alignment horizontal="center"/>
      <protection hidden="1"/>
    </xf>
    <xf numFmtId="0" fontId="8" fillId="0" borderId="39" xfId="0" applyFont="1" applyFill="1" applyBorder="1" applyAlignment="1" applyProtection="1">
      <alignment horizontal="center"/>
      <protection hidden="1"/>
    </xf>
    <xf numFmtId="0" fontId="8" fillId="0" borderId="40" xfId="0" applyFont="1" applyFill="1" applyBorder="1" applyAlignment="1" applyProtection="1">
      <alignment horizontal="center"/>
      <protection hidden="1"/>
    </xf>
    <xf numFmtId="0" fontId="1" fillId="9" borderId="21" xfId="0" applyFont="1" applyFill="1" applyBorder="1" applyAlignment="1" applyProtection="1">
      <alignment horizontal="center" vertical="center"/>
      <protection hidden="1"/>
    </xf>
    <xf numFmtId="0" fontId="1" fillId="9" borderId="11" xfId="0" applyFont="1" applyFill="1" applyBorder="1" applyAlignment="1" applyProtection="1">
      <alignment horizontal="center" vertical="center"/>
      <protection hidden="1"/>
    </xf>
    <xf numFmtId="0" fontId="0" fillId="0" borderId="44" xfId="0" applyFill="1" applyBorder="1" applyAlignment="1" applyProtection="1">
      <alignment horizontal="left" vertical="center" wrapText="1"/>
      <protection hidden="1"/>
    </xf>
    <xf numFmtId="0" fontId="0" fillId="0" borderId="10" xfId="0" applyFill="1" applyBorder="1" applyAlignment="1" applyProtection="1">
      <alignment horizontal="left" vertical="center" wrapText="1"/>
      <protection hidden="1"/>
    </xf>
    <xf numFmtId="0" fontId="1" fillId="0" borderId="41" xfId="0" applyFont="1" applyBorder="1" applyAlignment="1" applyProtection="1">
      <alignment horizontal="center" vertical="center" wrapText="1"/>
      <protection hidden="1"/>
    </xf>
    <xf numFmtId="0" fontId="1" fillId="0" borderId="37" xfId="0" applyFont="1" applyBorder="1" applyAlignment="1" applyProtection="1">
      <alignment horizontal="center" vertical="center" wrapText="1"/>
      <protection hidden="1"/>
    </xf>
    <xf numFmtId="0" fontId="30" fillId="0" borderId="0" xfId="0" applyFont="1" applyAlignment="1" applyProtection="1">
      <alignment horizontal="center" wrapText="1"/>
      <protection hidden="1"/>
    </xf>
    <xf numFmtId="0" fontId="0" fillId="27" borderId="60" xfId="0" applyFill="1" applyBorder="1" applyAlignment="1" applyProtection="1">
      <alignment horizontal="center" vertical="center" wrapText="1"/>
      <protection hidden="1"/>
    </xf>
    <xf numFmtId="0" fontId="0" fillId="27" borderId="50" xfId="0" applyFill="1" applyBorder="1" applyAlignment="1" applyProtection="1">
      <alignment horizontal="center" vertical="center" wrapText="1"/>
      <protection hidden="1"/>
    </xf>
    <xf numFmtId="0" fontId="0" fillId="27" borderId="64" xfId="0" applyFill="1" applyBorder="1" applyAlignment="1" applyProtection="1">
      <alignment horizontal="center" vertical="center" wrapText="1"/>
      <protection hidden="1"/>
    </xf>
    <xf numFmtId="0" fontId="0" fillId="27" borderId="49" xfId="0" applyFill="1" applyBorder="1" applyAlignment="1" applyProtection="1">
      <alignment horizontal="center" vertical="center" wrapText="1"/>
      <protection hidden="1"/>
    </xf>
    <xf numFmtId="0" fontId="0" fillId="27" borderId="14" xfId="0" applyFill="1" applyBorder="1" applyAlignment="1" applyProtection="1">
      <alignment horizontal="center" vertical="center" wrapText="1"/>
      <protection hidden="1"/>
    </xf>
    <xf numFmtId="0" fontId="0" fillId="27" borderId="63" xfId="0" applyFill="1" applyBorder="1" applyAlignment="1" applyProtection="1">
      <alignment horizontal="center" vertical="center" wrapText="1"/>
      <protection hidden="1"/>
    </xf>
    <xf numFmtId="164" fontId="0" fillId="0" borderId="20" xfId="1" applyFont="1" applyBorder="1" applyAlignment="1" applyProtection="1">
      <alignment horizontal="center"/>
      <protection hidden="1"/>
    </xf>
    <xf numFmtId="164" fontId="0" fillId="0" borderId="11" xfId="1" applyFont="1" applyBorder="1" applyAlignment="1" applyProtection="1">
      <alignment horizontal="center"/>
      <protection hidden="1"/>
    </xf>
    <xf numFmtId="0" fontId="0" fillId="0" borderId="20" xfId="0" applyBorder="1" applyAlignment="1" applyProtection="1">
      <alignment horizontal="left" vertical="center" wrapText="1"/>
      <protection hidden="1"/>
    </xf>
    <xf numFmtId="0" fontId="0" fillId="0" borderId="11" xfId="0" applyBorder="1" applyAlignment="1" applyProtection="1">
      <alignment horizontal="left" vertical="center" wrapText="1"/>
      <protection hidden="1"/>
    </xf>
    <xf numFmtId="0" fontId="0" fillId="0" borderId="43" xfId="0" applyBorder="1" applyAlignment="1" applyProtection="1">
      <alignment horizontal="left" vertical="center" wrapText="1"/>
      <protection hidden="1"/>
    </xf>
    <xf numFmtId="0" fontId="0" fillId="0" borderId="19" xfId="0" applyBorder="1" applyAlignment="1" applyProtection="1">
      <alignment horizontal="left" vertical="center" wrapText="1"/>
      <protection hidden="1"/>
    </xf>
    <xf numFmtId="0" fontId="1" fillId="7" borderId="21" xfId="0" applyFont="1" applyFill="1" applyBorder="1" applyAlignment="1" applyProtection="1">
      <alignment horizontal="center" vertical="center"/>
      <protection hidden="1"/>
    </xf>
    <xf numFmtId="0" fontId="1" fillId="7" borderId="11" xfId="0" applyFont="1" applyFill="1" applyBorder="1" applyAlignment="1" applyProtection="1">
      <alignment horizontal="center" vertical="center"/>
      <protection hidden="1"/>
    </xf>
    <xf numFmtId="0" fontId="1" fillId="8" borderId="21" xfId="0" applyFont="1" applyFill="1" applyBorder="1" applyAlignment="1" applyProtection="1">
      <alignment horizontal="center" vertical="center"/>
      <protection hidden="1"/>
    </xf>
    <xf numFmtId="0" fontId="1" fillId="8" borderId="11" xfId="0" applyFont="1" applyFill="1" applyBorder="1" applyAlignment="1" applyProtection="1">
      <alignment horizontal="center" vertical="center"/>
      <protection hidden="1"/>
    </xf>
    <xf numFmtId="49" fontId="6" fillId="3" borderId="6" xfId="0" applyNumberFormat="1" applyFont="1" applyFill="1" applyBorder="1" applyAlignment="1">
      <alignment horizontal="center" vertical="center"/>
    </xf>
    <xf numFmtId="49" fontId="6" fillId="3" borderId="7" xfId="0" applyNumberFormat="1" applyFont="1" applyFill="1" applyBorder="1" applyAlignment="1">
      <alignment horizontal="center" vertical="center"/>
    </xf>
    <xf numFmtId="49" fontId="6" fillId="3" borderId="8" xfId="0" applyNumberFormat="1" applyFont="1" applyFill="1" applyBorder="1" applyAlignment="1">
      <alignment horizontal="center" vertical="center"/>
    </xf>
    <xf numFmtId="0" fontId="23" fillId="0" borderId="50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2.png"/><Relationship Id="rId4" Type="http://schemas.openxmlformats.org/officeDocument/2006/relationships/image" Target="../media/image7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1</xdr:row>
      <xdr:rowOff>47625</xdr:rowOff>
    </xdr:from>
    <xdr:to>
      <xdr:col>8</xdr:col>
      <xdr:colOff>276225</xdr:colOff>
      <xdr:row>32</xdr:row>
      <xdr:rowOff>104775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57225" y="238125"/>
          <a:ext cx="5715000" cy="5962650"/>
        </a:xfrm>
        <a:prstGeom prst="rect">
          <a:avLst/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666750</xdr:colOff>
      <xdr:row>2</xdr:row>
      <xdr:rowOff>0</xdr:rowOff>
    </xdr:from>
    <xdr:to>
      <xdr:col>7</xdr:col>
      <xdr:colOff>480391</xdr:colOff>
      <xdr:row>3</xdr:row>
      <xdr:rowOff>84731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453598" y="364435"/>
          <a:ext cx="4534728" cy="2669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400" b="1">
              <a:solidFill>
                <a:schemeClr val="accent1">
                  <a:lumMod val="50000"/>
                </a:schemeClr>
              </a:solidFill>
            </a:rPr>
            <a:t>Welcome to</a:t>
          </a:r>
          <a:r>
            <a:rPr lang="fr-FR" sz="1400" b="1" baseline="0">
              <a:solidFill>
                <a:schemeClr val="accent1">
                  <a:lumMod val="50000"/>
                </a:schemeClr>
              </a:solidFill>
            </a:rPr>
            <a:t> the sizing tool of the</a:t>
          </a:r>
          <a:endParaRPr lang="fr-FR" sz="14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243840</xdr:colOff>
      <xdr:row>6</xdr:row>
      <xdr:rowOff>87630</xdr:rowOff>
    </xdr:from>
    <xdr:to>
      <xdr:col>7</xdr:col>
      <xdr:colOff>664325</xdr:colOff>
      <xdr:row>25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590" y="1167130"/>
          <a:ext cx="5186795" cy="341841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228601</xdr:colOff>
      <xdr:row>28</xdr:row>
      <xdr:rowOff>28576</xdr:rowOff>
    </xdr:from>
    <xdr:to>
      <xdr:col>2</xdr:col>
      <xdr:colOff>495301</xdr:colOff>
      <xdr:row>30</xdr:row>
      <xdr:rowOff>150280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601" y="5362576"/>
          <a:ext cx="1028700" cy="502704"/>
        </a:xfrm>
        <a:prstGeom prst="rect">
          <a:avLst/>
        </a:prstGeom>
      </xdr:spPr>
    </xdr:pic>
    <xdr:clientData/>
  </xdr:twoCellAnchor>
  <xdr:twoCellAnchor>
    <xdr:from>
      <xdr:col>2</xdr:col>
      <xdr:colOff>647700</xdr:colOff>
      <xdr:row>27</xdr:row>
      <xdr:rowOff>154054</xdr:rowOff>
    </xdr:from>
    <xdr:to>
      <xdr:col>6</xdr:col>
      <xdr:colOff>171450</xdr:colOff>
      <xdr:row>32</xdr:row>
      <xdr:rowOff>24846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21396" y="5073924"/>
          <a:ext cx="2671141" cy="7818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 u="none" strike="noStrike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GSE Intégration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 u="none" strike="noStrike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5-9 Rue Morand</a:t>
          </a:r>
          <a:r>
            <a:rPr lang="fr-FR" sz="1100" b="0" i="0" u="none" strike="noStrike" baseline="0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b="0" i="0" u="none" strike="noStrike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93400 Saint-Ouen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 u="none" strike="noStrike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+33(0)1.70.32.08.00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 u="none" strike="noStrike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email : contact@gseintegration.com</a:t>
          </a:r>
        </a:p>
      </xdr:txBody>
    </xdr:sp>
    <xdr:clientData/>
  </xdr:twoCellAnchor>
  <xdr:twoCellAnchor editAs="oneCell">
    <xdr:from>
      <xdr:col>1</xdr:col>
      <xdr:colOff>366115</xdr:colOff>
      <xdr:row>3</xdr:row>
      <xdr:rowOff>130811</xdr:rowOff>
    </xdr:from>
    <xdr:to>
      <xdr:col>7</xdr:col>
      <xdr:colOff>644101</xdr:colOff>
      <xdr:row>5</xdr:row>
      <xdr:rowOff>173847</xdr:rowOff>
    </xdr:to>
    <xdr:pic>
      <xdr:nvPicPr>
        <xdr:cNvPr id="10" name="Image 8">
          <a:extLst>
            <a:ext uri="{FF2B5EF4-FFF2-40B4-BE49-F238E27FC236}">
              <a16:creationId xmlns:a16="http://schemas.microsoft.com/office/drawing/2014/main" id="{4DF65AC6-F1B5-4415-B5D4-A1B79C03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9865" y="670561"/>
          <a:ext cx="5025246" cy="397366"/>
        </a:xfrm>
        <a:prstGeom prst="rect">
          <a:avLst/>
        </a:prstGeom>
      </xdr:spPr>
    </xdr:pic>
    <xdr:clientData/>
  </xdr:twoCellAnchor>
  <xdr:twoCellAnchor editAs="oneCell">
    <xdr:from>
      <xdr:col>6</xdr:col>
      <xdr:colOff>197956</xdr:colOff>
      <xdr:row>26</xdr:row>
      <xdr:rowOff>84021</xdr:rowOff>
    </xdr:from>
    <xdr:to>
      <xdr:col>8</xdr:col>
      <xdr:colOff>13544</xdr:colOff>
      <xdr:row>31</xdr:row>
      <xdr:rowOff>106479</xdr:rowOff>
    </xdr:to>
    <xdr:pic macro="[0]!Dimensionner">
      <xdr:nvPicPr>
        <xdr:cNvPr id="12" name="Image 11">
          <a:extLst>
            <a:ext uri="{FF2B5EF4-FFF2-40B4-BE49-F238E27FC236}">
              <a16:creationId xmlns:a16="http://schemas.microsoft.com/office/drawing/2014/main" id="{C72D9B94-ABC8-4D60-A3A7-B9B054BE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0430" y="4776337"/>
          <a:ext cx="1399746" cy="9248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112394</xdr:rowOff>
    </xdr:from>
    <xdr:to>
      <xdr:col>2</xdr:col>
      <xdr:colOff>593304</xdr:colOff>
      <xdr:row>2</xdr:row>
      <xdr:rowOff>213359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2394"/>
          <a:ext cx="969373" cy="463363"/>
        </a:xfrm>
        <a:prstGeom prst="rect">
          <a:avLst/>
        </a:prstGeom>
      </xdr:spPr>
    </xdr:pic>
    <xdr:clientData/>
  </xdr:twoCellAnchor>
  <xdr:twoCellAnchor editAs="oneCell">
    <xdr:from>
      <xdr:col>2</xdr:col>
      <xdr:colOff>190726</xdr:colOff>
      <xdr:row>7</xdr:row>
      <xdr:rowOff>59055</xdr:rowOff>
    </xdr:from>
    <xdr:to>
      <xdr:col>2</xdr:col>
      <xdr:colOff>801449</xdr:colOff>
      <xdr:row>7</xdr:row>
      <xdr:rowOff>324057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7755" y="1863202"/>
          <a:ext cx="610723" cy="261192"/>
        </a:xfrm>
        <a:prstGeom prst="rect">
          <a:avLst/>
        </a:prstGeom>
      </xdr:spPr>
    </xdr:pic>
    <xdr:clientData/>
  </xdr:twoCellAnchor>
  <xdr:twoCellAnchor editAs="oneCell">
    <xdr:from>
      <xdr:col>2</xdr:col>
      <xdr:colOff>27679</xdr:colOff>
      <xdr:row>8</xdr:row>
      <xdr:rowOff>60736</xdr:rowOff>
    </xdr:from>
    <xdr:to>
      <xdr:col>2</xdr:col>
      <xdr:colOff>933863</xdr:colOff>
      <xdr:row>8</xdr:row>
      <xdr:rowOff>324679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4708" y="2245883"/>
          <a:ext cx="906184" cy="263943"/>
        </a:xfrm>
        <a:prstGeom prst="rect">
          <a:avLst/>
        </a:prstGeom>
      </xdr:spPr>
    </xdr:pic>
    <xdr:clientData/>
  </xdr:twoCellAnchor>
  <xdr:twoCellAnchor>
    <xdr:from>
      <xdr:col>5</xdr:col>
      <xdr:colOff>4276725</xdr:colOff>
      <xdr:row>51</xdr:row>
      <xdr:rowOff>0</xdr:rowOff>
    </xdr:from>
    <xdr:to>
      <xdr:col>5</xdr:col>
      <xdr:colOff>4572000</xdr:colOff>
      <xdr:row>51</xdr:row>
      <xdr:rowOff>166688</xdr:rowOff>
    </xdr:to>
    <xdr:sp macro="" textlink="">
      <xdr:nvSpPr>
        <xdr:cNvPr id="59" name="ZoneTexte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9248775" y="5372100"/>
          <a:ext cx="295275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5</a:t>
          </a:r>
        </a:p>
      </xdr:txBody>
    </xdr:sp>
    <xdr:clientData/>
  </xdr:twoCellAnchor>
  <xdr:twoCellAnchor>
    <xdr:from>
      <xdr:col>4</xdr:col>
      <xdr:colOff>1266825</xdr:colOff>
      <xdr:row>55</xdr:row>
      <xdr:rowOff>85725</xdr:rowOff>
    </xdr:from>
    <xdr:to>
      <xdr:col>4</xdr:col>
      <xdr:colOff>1562100</xdr:colOff>
      <xdr:row>56</xdr:row>
      <xdr:rowOff>176213</xdr:rowOff>
    </xdr:to>
    <xdr:sp macro="" textlink="">
      <xdr:nvSpPr>
        <xdr:cNvPr id="60" name="ZoneText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4381500" y="7715250"/>
          <a:ext cx="295275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6</a:t>
          </a:r>
        </a:p>
      </xdr:txBody>
    </xdr:sp>
    <xdr:clientData/>
  </xdr:twoCellAnchor>
  <xdr:twoCellAnchor>
    <xdr:from>
      <xdr:col>5</xdr:col>
      <xdr:colOff>3838575</xdr:colOff>
      <xdr:row>48</xdr:row>
      <xdr:rowOff>0</xdr:rowOff>
    </xdr:from>
    <xdr:to>
      <xdr:col>5</xdr:col>
      <xdr:colOff>4410075</xdr:colOff>
      <xdr:row>48</xdr:row>
      <xdr:rowOff>33338</xdr:rowOff>
    </xdr:to>
    <xdr:sp macro="" textlink="">
      <xdr:nvSpPr>
        <xdr:cNvPr id="65" name="ZoneText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8810625" y="4857750"/>
          <a:ext cx="571500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12,13</a:t>
          </a:r>
        </a:p>
      </xdr:txBody>
    </xdr:sp>
    <xdr:clientData/>
  </xdr:twoCellAnchor>
  <xdr:twoCellAnchor editAs="oneCell">
    <xdr:from>
      <xdr:col>2</xdr:col>
      <xdr:colOff>343105</xdr:colOff>
      <xdr:row>6</xdr:row>
      <xdr:rowOff>55418</xdr:rowOff>
    </xdr:from>
    <xdr:to>
      <xdr:col>2</xdr:col>
      <xdr:colOff>666130</xdr:colOff>
      <xdr:row>6</xdr:row>
      <xdr:rowOff>325083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0134" y="1478565"/>
          <a:ext cx="319215" cy="265855"/>
        </a:xfrm>
        <a:prstGeom prst="rect">
          <a:avLst/>
        </a:prstGeom>
      </xdr:spPr>
    </xdr:pic>
    <xdr:clientData/>
  </xdr:twoCellAnchor>
  <xdr:twoCellAnchor editAs="oneCell">
    <xdr:from>
      <xdr:col>5</xdr:col>
      <xdr:colOff>651733</xdr:colOff>
      <xdr:row>6</xdr:row>
      <xdr:rowOff>46623</xdr:rowOff>
    </xdr:from>
    <xdr:to>
      <xdr:col>5</xdr:col>
      <xdr:colOff>2136486</xdr:colOff>
      <xdr:row>8</xdr:row>
      <xdr:rowOff>288970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16590" y="1401290"/>
          <a:ext cx="1484753" cy="1020252"/>
        </a:xfrm>
        <a:prstGeom prst="rect">
          <a:avLst/>
        </a:prstGeom>
      </xdr:spPr>
    </xdr:pic>
    <xdr:clientData/>
  </xdr:twoCellAnchor>
  <xdr:twoCellAnchor>
    <xdr:from>
      <xdr:col>4</xdr:col>
      <xdr:colOff>1047750</xdr:colOff>
      <xdr:row>60</xdr:row>
      <xdr:rowOff>95250</xdr:rowOff>
    </xdr:from>
    <xdr:to>
      <xdr:col>4</xdr:col>
      <xdr:colOff>1343025</xdr:colOff>
      <xdr:row>61</xdr:row>
      <xdr:rowOff>185738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4162425" y="8677275"/>
          <a:ext cx="295275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5</a:t>
          </a:r>
        </a:p>
      </xdr:txBody>
    </xdr:sp>
    <xdr:clientData/>
  </xdr:twoCellAnchor>
  <xdr:twoCellAnchor>
    <xdr:from>
      <xdr:col>7</xdr:col>
      <xdr:colOff>1447800</xdr:colOff>
      <xdr:row>48</xdr:row>
      <xdr:rowOff>0</xdr:rowOff>
    </xdr:from>
    <xdr:to>
      <xdr:col>7</xdr:col>
      <xdr:colOff>1914525</xdr:colOff>
      <xdr:row>48</xdr:row>
      <xdr:rowOff>100013</xdr:rowOff>
    </xdr:to>
    <xdr:sp macro="" textlink="">
      <xdr:nvSpPr>
        <xdr:cNvPr id="69" name="ZoneTexte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9563100" y="6305550"/>
          <a:ext cx="466725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19</a:t>
          </a:r>
        </a:p>
      </xdr:txBody>
    </xdr:sp>
    <xdr:clientData/>
  </xdr:twoCellAnchor>
  <xdr:twoCellAnchor>
    <xdr:from>
      <xdr:col>5</xdr:col>
      <xdr:colOff>4276725</xdr:colOff>
      <xdr:row>50</xdr:row>
      <xdr:rowOff>76200</xdr:rowOff>
    </xdr:from>
    <xdr:to>
      <xdr:col>5</xdr:col>
      <xdr:colOff>4572000</xdr:colOff>
      <xdr:row>51</xdr:row>
      <xdr:rowOff>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E9095139-0A81-4C63-923B-4D82A4599856}"/>
            </a:ext>
          </a:extLst>
        </xdr:cNvPr>
        <xdr:cNvSpPr txBox="1"/>
      </xdr:nvSpPr>
      <xdr:spPr>
        <a:xfrm>
          <a:off x="5288280" y="10325100"/>
          <a:ext cx="0" cy="275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5</a:t>
          </a:r>
        </a:p>
      </xdr:txBody>
    </xdr:sp>
    <xdr:clientData/>
  </xdr:twoCellAnchor>
  <xdr:twoCellAnchor editAs="oneCell">
    <xdr:from>
      <xdr:col>14</xdr:col>
      <xdr:colOff>171674</xdr:colOff>
      <xdr:row>30</xdr:row>
      <xdr:rowOff>193524</xdr:rowOff>
    </xdr:from>
    <xdr:to>
      <xdr:col>21</xdr:col>
      <xdr:colOff>398785</xdr:colOff>
      <xdr:row>43</xdr:row>
      <xdr:rowOff>59586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48A338C-7328-4C65-B893-8B0D075DC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8706"/>
        <a:stretch/>
      </xdr:blipFill>
      <xdr:spPr>
        <a:xfrm>
          <a:off x="12508817" y="7450667"/>
          <a:ext cx="6508350" cy="3704062"/>
        </a:xfrm>
        <a:prstGeom prst="rect">
          <a:avLst/>
        </a:prstGeom>
      </xdr:spPr>
    </xdr:pic>
    <xdr:clientData/>
  </xdr:twoCellAnchor>
  <xdr:twoCellAnchor editAs="oneCell">
    <xdr:from>
      <xdr:col>14</xdr:col>
      <xdr:colOff>173356</xdr:colOff>
      <xdr:row>10</xdr:row>
      <xdr:rowOff>48381</xdr:rowOff>
    </xdr:from>
    <xdr:to>
      <xdr:col>21</xdr:col>
      <xdr:colOff>403831</xdr:colOff>
      <xdr:row>27</xdr:row>
      <xdr:rowOff>20130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5EF5DCC-11E0-4EB7-BBC3-07485043F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0051"/>
        <a:stretch/>
      </xdr:blipFill>
      <xdr:spPr>
        <a:xfrm>
          <a:off x="12510499" y="2757714"/>
          <a:ext cx="6504094" cy="3167462"/>
        </a:xfrm>
        <a:prstGeom prst="rect">
          <a:avLst/>
        </a:prstGeom>
      </xdr:spPr>
    </xdr:pic>
    <xdr:clientData/>
  </xdr:twoCellAnchor>
  <xdr:twoCellAnchor editAs="oneCell">
    <xdr:from>
      <xdr:col>4</xdr:col>
      <xdr:colOff>95605</xdr:colOff>
      <xdr:row>1</xdr:row>
      <xdr:rowOff>29886</xdr:rowOff>
    </xdr:from>
    <xdr:to>
      <xdr:col>6</xdr:col>
      <xdr:colOff>171767</xdr:colOff>
      <xdr:row>2</xdr:row>
      <xdr:rowOff>232037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AF3A46B-4512-4425-9432-5B780828A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6919" y="214943"/>
          <a:ext cx="4759408" cy="387208"/>
        </a:xfrm>
        <a:prstGeom prst="rect">
          <a:avLst/>
        </a:prstGeom>
      </xdr:spPr>
    </xdr:pic>
    <xdr:clientData/>
  </xdr:twoCellAnchor>
  <xdr:twoCellAnchor editAs="oneCell">
    <xdr:from>
      <xdr:col>10</xdr:col>
      <xdr:colOff>19024</xdr:colOff>
      <xdr:row>1</xdr:row>
      <xdr:rowOff>19290</xdr:rowOff>
    </xdr:from>
    <xdr:to>
      <xdr:col>13</xdr:col>
      <xdr:colOff>206482</xdr:colOff>
      <xdr:row>4</xdr:row>
      <xdr:rowOff>40725</xdr:rowOff>
    </xdr:to>
    <xdr:pic macro="[0]!Macro2">
      <xdr:nvPicPr>
        <xdr:cNvPr id="7" name="Image 6">
          <a:extLst>
            <a:ext uri="{FF2B5EF4-FFF2-40B4-BE49-F238E27FC236}">
              <a16:creationId xmlns:a16="http://schemas.microsoft.com/office/drawing/2014/main" id="{77639F5C-4E7E-4929-AC9C-3092CDFDF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58423" y="198657"/>
          <a:ext cx="1193249" cy="806938"/>
        </a:xfrm>
        <a:prstGeom prst="rect">
          <a:avLst/>
        </a:prstGeom>
      </xdr:spPr>
    </xdr:pic>
    <xdr:clientData/>
  </xdr:twoCellAnchor>
  <xdr:twoCellAnchor editAs="oneCell">
    <xdr:from>
      <xdr:col>10</xdr:col>
      <xdr:colOff>222347</xdr:colOff>
      <xdr:row>4</xdr:row>
      <xdr:rowOff>114842</xdr:rowOff>
    </xdr:from>
    <xdr:to>
      <xdr:col>11</xdr:col>
      <xdr:colOff>0</xdr:colOff>
      <xdr:row>7</xdr:row>
      <xdr:rowOff>60209</xdr:rowOff>
    </xdr:to>
    <xdr:pic macro="[1]!PrintAsPDF">
      <xdr:nvPicPr>
        <xdr:cNvPr id="9" name="Image 8">
          <a:extLst>
            <a:ext uri="{FF2B5EF4-FFF2-40B4-BE49-F238E27FC236}">
              <a16:creationId xmlns:a16="http://schemas.microsoft.com/office/drawing/2014/main" id="{0A1F0C90-E023-435F-9C1B-C077015F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77134" y="1102190"/>
          <a:ext cx="778521" cy="7350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seintegration.sharepoint.com/sites/GSE-GroundSystem/Documents%20partages/D&#233;veloppement/Calculateur%20-%20NDC/Calculette%20dimensionnement%20nb%20de%20piece/Dimensionnement_GSE_GROUNDSYSTEM_V1.6%20(Diff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Dimensionnement"/>
      <sheetName val="Logistique"/>
      <sheetName val="Données"/>
      <sheetName val="Dimensionnement_GSE_GROUNDSYSTE"/>
    </sheetNames>
    <definedNames>
      <definedName name="PrintAsPDF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18A1B-A04B-4DB2-BFB2-A766C757AB52}">
  <sheetPr codeName="Feuil3"/>
  <dimension ref="A1"/>
  <sheetViews>
    <sheetView showGridLines="0" showRowColHeaders="0" topLeftCell="A7" zoomScale="95" zoomScaleNormal="95" workbookViewId="0">
      <selection activeCell="K34" sqref="K34"/>
    </sheetView>
  </sheetViews>
  <sheetFormatPr defaultColWidth="11.5546875" defaultRowHeight="14.4" x14ac:dyDescent="0.3"/>
  <sheetData/>
  <sheetProtection algorithmName="SHA-512" hashValue="m81RS4Whxxgf/dtRXED1qYFM2rtXgwEHd67OPDoKYrda/KrggCY3tNn9oO7MnZ+q9iXKdRagloqiSaK99qrq+g==" saltValue="0uw1mnmq6+HqQQHIHcG6QQ==" spinCount="100000" sheet="1" select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A7C21-59EB-4B3C-A43A-5363CBDCD33B}">
  <sheetPr codeName="Feuil2">
    <pageSetUpPr fitToPage="1"/>
  </sheetPr>
  <dimension ref="A1:X58"/>
  <sheetViews>
    <sheetView showGridLines="0" tabSelected="1" showRuler="0" topLeftCell="A5" zoomScale="82" zoomScaleNormal="82" zoomScaleSheetLayoutView="115" zoomScalePageLayoutView="70" workbookViewId="0">
      <selection activeCell="D43" sqref="D43"/>
    </sheetView>
  </sheetViews>
  <sheetFormatPr defaultColWidth="11.5546875" defaultRowHeight="14.4" x14ac:dyDescent="0.3"/>
  <cols>
    <col min="1" max="1" width="4.5546875" style="29" customWidth="1"/>
    <col min="2" max="2" width="6.33203125" style="29" customWidth="1"/>
    <col min="3" max="4" width="13.88671875" style="29" customWidth="1"/>
    <col min="5" max="5" width="14.6640625" style="29" customWidth="1"/>
    <col min="6" max="6" width="53.6640625" style="29" customWidth="1"/>
    <col min="7" max="7" width="13.88671875" style="29" customWidth="1"/>
    <col min="8" max="8" width="10" style="29" bestFit="1" customWidth="1"/>
    <col min="9" max="9" width="12.33203125" style="29" bestFit="1" customWidth="1"/>
    <col min="10" max="10" width="1.6640625" style="31" customWidth="1"/>
    <col min="11" max="11" width="14.5546875" style="29" bestFit="1" customWidth="1"/>
    <col min="12" max="12" width="11.5546875" style="30" hidden="1" customWidth="1"/>
    <col min="13" max="13" width="11.5546875" style="29" hidden="1" customWidth="1"/>
    <col min="14" max="14" width="7.33203125" style="29" customWidth="1"/>
    <col min="15" max="15" width="11.5546875" style="29"/>
    <col min="16" max="16" width="21.6640625" style="29" bestFit="1" customWidth="1"/>
    <col min="17" max="16384" width="11.5546875" style="29"/>
  </cols>
  <sheetData>
    <row r="1" spans="1:24" x14ac:dyDescent="0.3">
      <c r="A1" s="115"/>
      <c r="B1" s="115"/>
      <c r="C1" s="115"/>
      <c r="D1" s="115"/>
      <c r="E1" s="115"/>
      <c r="F1" s="115"/>
      <c r="G1" s="115"/>
      <c r="H1" s="115"/>
      <c r="I1" s="115"/>
      <c r="J1" s="116"/>
      <c r="K1" s="115"/>
      <c r="L1" s="117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</row>
    <row r="2" spans="1:24" x14ac:dyDescent="0.3">
      <c r="A2" s="115"/>
      <c r="B2" s="115"/>
      <c r="C2" s="115"/>
      <c r="D2" s="115"/>
      <c r="E2" s="115"/>
      <c r="F2" s="115"/>
      <c r="G2" s="115"/>
      <c r="H2" s="115"/>
      <c r="I2" s="115"/>
      <c r="J2" s="116"/>
      <c r="K2" s="115"/>
      <c r="L2" s="117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</row>
    <row r="3" spans="1:24" ht="27" customHeight="1" x14ac:dyDescent="0.3">
      <c r="A3" s="115"/>
      <c r="B3" s="115"/>
      <c r="C3" s="115"/>
      <c r="D3" s="115"/>
      <c r="E3" s="115"/>
      <c r="F3" s="115"/>
      <c r="G3" s="115"/>
      <c r="H3" s="115"/>
      <c r="I3" s="115"/>
      <c r="J3" s="116"/>
      <c r="K3" s="115"/>
      <c r="L3" s="117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21" customHeight="1" x14ac:dyDescent="0.3">
      <c r="A4" s="115"/>
      <c r="B4" s="115"/>
      <c r="C4" s="115"/>
      <c r="D4" s="118" t="s">
        <v>155</v>
      </c>
      <c r="E4" s="212"/>
      <c r="F4" s="212"/>
      <c r="G4" s="212"/>
      <c r="H4" s="115"/>
      <c r="I4" s="115"/>
      <c r="J4" s="116"/>
      <c r="K4" s="115"/>
      <c r="L4" s="117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</row>
    <row r="5" spans="1:24" ht="15.6" customHeight="1" thickBot="1" x14ac:dyDescent="0.35">
      <c r="A5" s="115"/>
      <c r="B5" s="115"/>
      <c r="C5" s="115"/>
      <c r="D5" s="115"/>
      <c r="E5" s="115"/>
      <c r="F5" s="115"/>
      <c r="G5" s="115"/>
      <c r="H5" s="115"/>
      <c r="I5" s="115"/>
      <c r="J5" s="116"/>
      <c r="K5" s="115"/>
      <c r="L5" s="117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</row>
    <row r="6" spans="1:24" ht="15.6" x14ac:dyDescent="0.3">
      <c r="A6" s="115"/>
      <c r="B6" s="115"/>
      <c r="C6" s="215" t="s">
        <v>154</v>
      </c>
      <c r="D6" s="216"/>
      <c r="E6" s="217"/>
      <c r="F6" s="204" t="s">
        <v>153</v>
      </c>
      <c r="G6" s="205"/>
      <c r="H6" s="205"/>
      <c r="I6" s="119"/>
      <c r="J6" s="119"/>
      <c r="K6" s="115"/>
      <c r="L6" s="117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</row>
    <row r="7" spans="1:24" ht="30" customHeight="1" x14ac:dyDescent="0.3">
      <c r="A7" s="115"/>
      <c r="B7" s="115"/>
      <c r="C7" s="120"/>
      <c r="D7" s="121" t="s">
        <v>147</v>
      </c>
      <c r="E7" s="41">
        <v>0</v>
      </c>
      <c r="F7" s="115"/>
      <c r="G7" s="118" t="s">
        <v>108</v>
      </c>
      <c r="H7" s="5">
        <v>0</v>
      </c>
      <c r="I7" s="122"/>
      <c r="J7" s="122"/>
      <c r="K7" s="115"/>
      <c r="L7" s="117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</row>
    <row r="8" spans="1:24" ht="30" customHeight="1" x14ac:dyDescent="0.3">
      <c r="A8" s="115"/>
      <c r="B8" s="115"/>
      <c r="C8" s="123"/>
      <c r="D8" s="124" t="s">
        <v>148</v>
      </c>
      <c r="E8" s="42">
        <v>0</v>
      </c>
      <c r="F8" s="115"/>
      <c r="G8" s="118" t="s">
        <v>109</v>
      </c>
      <c r="H8" s="27">
        <v>0</v>
      </c>
      <c r="I8" s="122"/>
      <c r="J8" s="122"/>
      <c r="K8" s="115"/>
      <c r="L8" s="117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</row>
    <row r="9" spans="1:24" ht="30" customHeight="1" thickBot="1" x14ac:dyDescent="0.35">
      <c r="A9" s="115"/>
      <c r="B9" s="115"/>
      <c r="C9" s="125"/>
      <c r="D9" s="126" t="s">
        <v>149</v>
      </c>
      <c r="E9" s="43">
        <v>0</v>
      </c>
      <c r="F9" s="127"/>
      <c r="G9" s="128"/>
      <c r="H9" s="129"/>
      <c r="I9" s="130"/>
      <c r="J9" s="130"/>
      <c r="K9" s="115"/>
      <c r="L9" s="117"/>
      <c r="M9" s="115"/>
      <c r="N9" s="115"/>
      <c r="O9" s="200" t="s">
        <v>169</v>
      </c>
      <c r="P9" s="200"/>
      <c r="Q9" s="115"/>
      <c r="R9" s="115"/>
      <c r="S9" s="115"/>
      <c r="T9" s="115"/>
      <c r="U9" s="115"/>
      <c r="V9" s="115"/>
      <c r="W9" s="115"/>
      <c r="X9" s="115"/>
    </row>
    <row r="10" spans="1:24" ht="15.6" customHeight="1" x14ac:dyDescent="0.3">
      <c r="A10" s="115"/>
      <c r="B10" s="115"/>
      <c r="C10" s="122"/>
      <c r="D10" s="122"/>
      <c r="E10" s="122"/>
      <c r="F10" s="130"/>
      <c r="G10" s="130"/>
      <c r="H10" s="130"/>
      <c r="I10" s="130"/>
      <c r="J10" s="130"/>
      <c r="K10" s="115"/>
      <c r="L10" s="117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</row>
    <row r="11" spans="1:24" ht="21" x14ac:dyDescent="0.3">
      <c r="A11" s="115"/>
      <c r="B11" s="115"/>
      <c r="C11" s="131" t="s">
        <v>150</v>
      </c>
      <c r="D11" s="206" t="s">
        <v>151</v>
      </c>
      <c r="E11" s="207"/>
      <c r="F11" s="208" t="s">
        <v>135</v>
      </c>
      <c r="G11" s="209"/>
      <c r="H11" s="115"/>
      <c r="I11" s="115"/>
      <c r="J11" s="116"/>
      <c r="K11" s="132"/>
      <c r="L11" s="133"/>
      <c r="M11" s="115"/>
      <c r="N11" s="115"/>
      <c r="O11" s="115"/>
      <c r="P11" s="115"/>
      <c r="Q11" s="130"/>
      <c r="R11" s="115"/>
      <c r="S11" s="115"/>
      <c r="T11" s="115"/>
      <c r="U11" s="115"/>
      <c r="V11" s="115"/>
      <c r="W11" s="115"/>
      <c r="X11" s="115"/>
    </row>
    <row r="12" spans="1:24" s="31" customFormat="1" ht="14.4" customHeight="1" x14ac:dyDescent="0.3">
      <c r="A12" s="116"/>
      <c r="B12" s="116"/>
      <c r="C12" s="134"/>
      <c r="D12" s="122"/>
      <c r="E12" s="135"/>
      <c r="F12" s="116"/>
      <c r="G12" s="116"/>
      <c r="H12" s="116"/>
      <c r="I12" s="116"/>
      <c r="J12" s="116"/>
      <c r="K12" s="130"/>
      <c r="L12" s="122"/>
      <c r="M12" s="116"/>
      <c r="N12" s="116"/>
      <c r="O12" s="116"/>
      <c r="P12" s="116"/>
      <c r="Q12" s="130"/>
      <c r="R12" s="116"/>
      <c r="S12" s="116"/>
      <c r="T12" s="116"/>
      <c r="U12" s="116"/>
      <c r="V12" s="116"/>
      <c r="W12" s="116"/>
      <c r="X12" s="116"/>
    </row>
    <row r="13" spans="1:24" ht="21" hidden="1" x14ac:dyDescent="0.3">
      <c r="A13" s="115"/>
      <c r="B13" s="115"/>
      <c r="C13" s="115"/>
      <c r="D13" s="118" t="s">
        <v>87</v>
      </c>
      <c r="E13" s="136" t="s">
        <v>24</v>
      </c>
      <c r="F13" s="137"/>
      <c r="G13" s="138"/>
      <c r="H13" s="115"/>
      <c r="I13" s="115"/>
      <c r="J13" s="116"/>
      <c r="K13" s="132"/>
      <c r="L13" s="133"/>
      <c r="M13" s="115"/>
      <c r="N13" s="115"/>
      <c r="O13" s="115"/>
      <c r="P13" s="115"/>
      <c r="Q13" s="130"/>
      <c r="R13" s="115"/>
      <c r="S13" s="115"/>
      <c r="T13" s="115"/>
      <c r="U13" s="115"/>
      <c r="V13" s="115"/>
      <c r="W13" s="115"/>
      <c r="X13" s="115"/>
    </row>
    <row r="14" spans="1:24" x14ac:dyDescent="0.3">
      <c r="A14" s="115"/>
      <c r="B14" s="115"/>
      <c r="C14" s="115"/>
      <c r="D14" s="139" t="s">
        <v>146</v>
      </c>
      <c r="E14" s="28">
        <v>0</v>
      </c>
      <c r="F14" s="118" t="s">
        <v>141</v>
      </c>
      <c r="G14" s="38">
        <v>0</v>
      </c>
      <c r="H14" s="115"/>
      <c r="I14" s="115"/>
      <c r="J14" s="116"/>
      <c r="K14" s="132"/>
      <c r="L14" s="133"/>
      <c r="M14" s="115"/>
      <c r="N14" s="115"/>
      <c r="O14" s="115"/>
      <c r="P14" s="115"/>
      <c r="Q14" s="130"/>
      <c r="R14" s="115"/>
      <c r="S14" s="115"/>
      <c r="T14" s="115"/>
      <c r="U14" s="115"/>
      <c r="V14" s="115"/>
      <c r="W14" s="115"/>
      <c r="X14" s="115"/>
    </row>
    <row r="15" spans="1:24" x14ac:dyDescent="0.3">
      <c r="A15" s="115"/>
      <c r="B15" s="115"/>
      <c r="C15" s="115"/>
      <c r="D15" s="139" t="s">
        <v>145</v>
      </c>
      <c r="E15" s="28">
        <v>0</v>
      </c>
      <c r="F15" s="118" t="s">
        <v>142</v>
      </c>
      <c r="G15" s="39">
        <v>0</v>
      </c>
      <c r="H15" s="115"/>
      <c r="I15" s="115"/>
      <c r="J15" s="116"/>
      <c r="K15" s="132"/>
      <c r="L15" s="133"/>
      <c r="M15" s="115"/>
      <c r="N15" s="115"/>
      <c r="O15" s="115"/>
      <c r="P15" s="115"/>
      <c r="Q15" s="130"/>
      <c r="R15" s="115"/>
      <c r="S15" s="115"/>
      <c r="T15" s="115"/>
      <c r="U15" s="115"/>
      <c r="V15" s="115"/>
      <c r="W15" s="115"/>
      <c r="X15" s="115"/>
    </row>
    <row r="16" spans="1:24" x14ac:dyDescent="0.3">
      <c r="A16" s="115"/>
      <c r="B16" s="115"/>
      <c r="C16" s="115"/>
      <c r="D16" s="115"/>
      <c r="E16" s="115"/>
      <c r="F16" s="118" t="s">
        <v>143</v>
      </c>
      <c r="G16" s="37">
        <v>0</v>
      </c>
      <c r="H16" s="115"/>
      <c r="I16" s="115"/>
      <c r="J16" s="116"/>
      <c r="K16" s="132"/>
      <c r="L16" s="133"/>
      <c r="M16" s="115"/>
      <c r="N16" s="115"/>
      <c r="O16" s="115"/>
      <c r="P16" s="115"/>
      <c r="Q16" s="130"/>
      <c r="R16" s="115"/>
      <c r="S16" s="115"/>
      <c r="T16" s="115"/>
      <c r="U16" s="115"/>
      <c r="V16" s="115"/>
      <c r="W16" s="115"/>
      <c r="X16" s="115"/>
    </row>
    <row r="17" spans="1:24" x14ac:dyDescent="0.3">
      <c r="A17" s="115"/>
      <c r="B17" s="115"/>
      <c r="C17" s="115"/>
      <c r="D17" s="140" t="s">
        <v>136</v>
      </c>
      <c r="E17" s="141">
        <f>SUM(2*E7,4*E8,6*E9,H7*H8)</f>
        <v>0</v>
      </c>
      <c r="F17" s="118"/>
      <c r="G17" s="142"/>
      <c r="H17" s="115"/>
      <c r="I17" s="115"/>
      <c r="J17" s="116"/>
      <c r="K17" s="115"/>
      <c r="L17" s="117"/>
      <c r="M17" s="115"/>
      <c r="N17" s="115"/>
      <c r="O17" s="115"/>
      <c r="P17" s="115"/>
      <c r="Q17" s="130"/>
      <c r="R17" s="115"/>
      <c r="S17" s="115"/>
      <c r="T17" s="115"/>
      <c r="U17" s="115"/>
      <c r="V17" s="115"/>
      <c r="W17" s="115"/>
      <c r="X17" s="115"/>
    </row>
    <row r="18" spans="1:24" x14ac:dyDescent="0.3">
      <c r="A18" s="115"/>
      <c r="B18" s="115"/>
      <c r="C18" s="139"/>
      <c r="D18" s="139" t="s">
        <v>137</v>
      </c>
      <c r="E18" s="143">
        <f>$E$17*$G$18/1000</f>
        <v>0</v>
      </c>
      <c r="F18" s="139" t="s">
        <v>144</v>
      </c>
      <c r="G18" s="36">
        <v>400</v>
      </c>
      <c r="H18" s="115"/>
      <c r="I18" s="115"/>
      <c r="J18" s="116"/>
      <c r="K18" s="115"/>
      <c r="L18" s="117"/>
      <c r="M18" s="115"/>
      <c r="N18" s="115"/>
      <c r="O18" s="130"/>
      <c r="P18" s="130"/>
      <c r="Q18" s="130"/>
      <c r="R18" s="115"/>
      <c r="S18" s="115"/>
      <c r="T18" s="115"/>
      <c r="U18" s="115"/>
      <c r="V18" s="115"/>
      <c r="W18" s="115"/>
      <c r="X18" s="115"/>
    </row>
    <row r="19" spans="1:24" ht="15" thickBot="1" x14ac:dyDescent="0.35">
      <c r="A19" s="115"/>
      <c r="B19" s="115"/>
      <c r="C19" s="139"/>
      <c r="D19" s="139"/>
      <c r="E19" s="144"/>
      <c r="F19" s="139"/>
      <c r="G19" s="145"/>
      <c r="H19" s="115"/>
      <c r="I19" s="115"/>
      <c r="J19" s="116"/>
      <c r="K19" s="115"/>
      <c r="L19" s="117"/>
      <c r="M19" s="115"/>
      <c r="N19" s="115"/>
      <c r="O19" s="130"/>
      <c r="P19" s="130"/>
      <c r="Q19" s="130"/>
      <c r="R19" s="115"/>
      <c r="S19" s="115"/>
      <c r="T19" s="115"/>
      <c r="U19" s="115"/>
      <c r="V19" s="115"/>
      <c r="W19" s="115"/>
      <c r="X19" s="115"/>
    </row>
    <row r="20" spans="1:24" ht="22.2" customHeight="1" x14ac:dyDescent="0.3">
      <c r="A20" s="115"/>
      <c r="B20" s="225" t="s">
        <v>138</v>
      </c>
      <c r="C20" s="226"/>
      <c r="D20" s="226"/>
      <c r="E20" s="227"/>
      <c r="F20" s="146" t="s">
        <v>139</v>
      </c>
      <c r="G20" s="195" t="s">
        <v>105</v>
      </c>
      <c r="H20" s="147"/>
      <c r="I20" s="147"/>
      <c r="J20" s="116"/>
      <c r="K20" s="115"/>
      <c r="L20" s="117"/>
      <c r="M20" s="115"/>
      <c r="N20" s="115"/>
      <c r="O20" s="130"/>
      <c r="P20" s="130"/>
      <c r="Q20" s="130"/>
      <c r="R20" s="115"/>
      <c r="S20" s="115"/>
      <c r="T20" s="115"/>
      <c r="U20" s="115"/>
      <c r="V20" s="115"/>
      <c r="W20" s="115"/>
      <c r="X20" s="115"/>
    </row>
    <row r="21" spans="1:24" ht="24" customHeight="1" thickBot="1" x14ac:dyDescent="0.35">
      <c r="A21" s="115"/>
      <c r="B21" s="228"/>
      <c r="C21" s="229"/>
      <c r="D21" s="229"/>
      <c r="E21" s="230"/>
      <c r="F21" s="148" t="s">
        <v>140</v>
      </c>
      <c r="G21" s="114" t="s">
        <v>228</v>
      </c>
      <c r="H21" s="115"/>
      <c r="I21" s="149"/>
      <c r="J21" s="116"/>
      <c r="K21" s="115"/>
      <c r="L21" s="150"/>
      <c r="M21" s="150"/>
      <c r="N21" s="115"/>
      <c r="O21" s="130"/>
      <c r="P21" s="130"/>
      <c r="Q21" s="130"/>
      <c r="R21" s="115"/>
      <c r="S21" s="115"/>
      <c r="T21" s="115"/>
      <c r="U21" s="115"/>
      <c r="V21" s="115"/>
      <c r="W21" s="115"/>
      <c r="X21" s="115"/>
    </row>
    <row r="22" spans="1:24" ht="18" x14ac:dyDescent="0.3">
      <c r="A22" s="115"/>
      <c r="B22" s="151"/>
      <c r="C22" s="151"/>
      <c r="D22" s="151"/>
      <c r="E22" s="151"/>
      <c r="F22" s="224" t="s">
        <v>229</v>
      </c>
      <c r="G22" s="224"/>
      <c r="H22" s="224"/>
      <c r="I22" s="149"/>
      <c r="J22" s="116"/>
      <c r="K22" s="150"/>
      <c r="L22" s="117"/>
      <c r="M22" s="150"/>
      <c r="N22" s="115"/>
      <c r="O22" s="130"/>
      <c r="P22" s="130"/>
      <c r="Q22" s="130"/>
      <c r="R22" s="115"/>
      <c r="S22" s="115"/>
      <c r="T22" s="115"/>
      <c r="U22" s="115"/>
      <c r="V22" s="115"/>
      <c r="W22" s="115"/>
      <c r="X22" s="115"/>
    </row>
    <row r="23" spans="1:24" ht="4.8" customHeight="1" x14ac:dyDescent="0.3">
      <c r="A23" s="115"/>
      <c r="B23" s="151"/>
      <c r="C23" s="151"/>
      <c r="D23" s="151"/>
      <c r="E23" s="151"/>
      <c r="F23" s="115"/>
      <c r="G23" s="115"/>
      <c r="H23" s="115"/>
      <c r="I23" s="149"/>
      <c r="J23" s="116"/>
      <c r="K23" s="115"/>
      <c r="L23" s="117"/>
      <c r="M23" s="115"/>
      <c r="N23" s="115"/>
      <c r="O23" s="130"/>
      <c r="P23" s="130"/>
      <c r="Q23" s="130"/>
      <c r="R23" s="115"/>
      <c r="S23" s="115"/>
      <c r="T23" s="115"/>
      <c r="U23" s="115"/>
      <c r="V23" s="115"/>
      <c r="W23" s="115"/>
      <c r="X23" s="115"/>
    </row>
    <row r="24" spans="1:24" ht="15" hidden="1" customHeight="1" x14ac:dyDescent="0.3">
      <c r="A24" s="115"/>
      <c r="B24" s="115"/>
      <c r="C24" s="139"/>
      <c r="D24" s="139"/>
      <c r="E24" s="152"/>
      <c r="F24" s="115"/>
      <c r="G24" s="115"/>
      <c r="H24" s="115"/>
      <c r="I24" s="115"/>
      <c r="J24" s="116"/>
      <c r="K24" s="115"/>
      <c r="L24" s="117"/>
      <c r="M24" s="115"/>
      <c r="N24" s="115"/>
      <c r="O24" s="130"/>
      <c r="P24" s="130"/>
      <c r="Q24" s="130"/>
      <c r="R24" s="115"/>
      <c r="S24" s="115"/>
      <c r="T24" s="115"/>
      <c r="U24" s="115"/>
      <c r="V24" s="115"/>
      <c r="W24" s="115"/>
      <c r="X24" s="115"/>
    </row>
    <row r="25" spans="1:24" ht="15" thickBot="1" x14ac:dyDescent="0.35">
      <c r="A25" s="115"/>
      <c r="B25" s="153" t="s">
        <v>17</v>
      </c>
      <c r="C25" s="153" t="s">
        <v>156</v>
      </c>
      <c r="D25" s="153" t="s">
        <v>157</v>
      </c>
      <c r="E25" s="222" t="s">
        <v>0</v>
      </c>
      <c r="F25" s="223"/>
      <c r="G25" s="153" t="s">
        <v>158</v>
      </c>
      <c r="H25" s="153" t="s">
        <v>159</v>
      </c>
      <c r="I25" s="153" t="s">
        <v>160</v>
      </c>
      <c r="J25" s="154"/>
      <c r="K25" s="115"/>
      <c r="L25" s="117"/>
      <c r="M25" s="115"/>
      <c r="N25" s="115"/>
      <c r="O25" s="130"/>
      <c r="P25" s="130"/>
      <c r="Q25" s="130"/>
      <c r="R25" s="115"/>
      <c r="S25" s="115"/>
      <c r="T25" s="115"/>
      <c r="U25" s="115"/>
      <c r="V25" s="115"/>
      <c r="W25" s="115"/>
      <c r="X25" s="115"/>
    </row>
    <row r="26" spans="1:24" ht="22.2" customHeight="1" x14ac:dyDescent="0.3">
      <c r="A26" s="115"/>
      <c r="B26" s="155">
        <v>1</v>
      </c>
      <c r="C26" s="156" t="s">
        <v>94</v>
      </c>
      <c r="D26" s="197"/>
      <c r="E26" s="220" t="str">
        <f t="shared" ref="E26:E32" si="0">VLOOKUP(C26,Ref_art,2,FALSE)</f>
        <v>BOTTOM WALL OF BALLASTING BOX (THICKNESS 1mm) V2</v>
      </c>
      <c r="F26" s="221"/>
      <c r="G26" s="199">
        <v>0</v>
      </c>
      <c r="H26" s="157">
        <f>SUM(2*$E$7,2*$E$8,3*$E$9,IF($H$7=2,2*$H$8,($H$7*$H$8)/2))</f>
        <v>0</v>
      </c>
      <c r="I26" s="158">
        <f>G26*H26</f>
        <v>0</v>
      </c>
      <c r="J26" s="159"/>
      <c r="K26" s="115"/>
      <c r="L26" s="117"/>
      <c r="M26" s="115"/>
      <c r="N26" s="115"/>
      <c r="O26" s="130"/>
      <c r="P26" s="130"/>
      <c r="Q26" s="130"/>
      <c r="R26" s="115"/>
      <c r="S26" s="115"/>
      <c r="T26" s="115"/>
      <c r="U26" s="115"/>
      <c r="V26" s="115"/>
      <c r="W26" s="115"/>
      <c r="X26" s="115"/>
    </row>
    <row r="27" spans="1:24" ht="24.6" customHeight="1" x14ac:dyDescent="0.3">
      <c r="A27" s="115"/>
      <c r="B27" s="160">
        <v>2</v>
      </c>
      <c r="C27" s="161" t="s">
        <v>90</v>
      </c>
      <c r="D27" s="198"/>
      <c r="E27" s="210" t="str">
        <f t="shared" si="0"/>
        <v>FRONT AND BACK WALL OF BALLASTING BOX (THICKNESS 1mm) V2</v>
      </c>
      <c r="F27" s="211"/>
      <c r="G27" s="199">
        <v>0</v>
      </c>
      <c r="H27" s="162">
        <f>2*$H$26</f>
        <v>0</v>
      </c>
      <c r="I27" s="163">
        <f t="shared" ref="I27:I51" si="1">G27*H27</f>
        <v>0</v>
      </c>
      <c r="J27" s="159"/>
      <c r="K27" s="115"/>
      <c r="L27" s="117"/>
      <c r="M27" s="115"/>
      <c r="N27" s="115"/>
      <c r="O27" s="130"/>
      <c r="P27" s="130"/>
      <c r="Q27" s="130"/>
      <c r="R27" s="115"/>
      <c r="S27" s="115"/>
      <c r="T27" s="115"/>
      <c r="U27" s="115"/>
      <c r="V27" s="115"/>
      <c r="W27" s="115"/>
      <c r="X27" s="115"/>
    </row>
    <row r="28" spans="1:24" ht="24.6" customHeight="1" x14ac:dyDescent="0.3">
      <c r="A28" s="115"/>
      <c r="B28" s="160">
        <v>3</v>
      </c>
      <c r="C28" s="161" t="s">
        <v>92</v>
      </c>
      <c r="D28" s="198"/>
      <c r="E28" s="210" t="str">
        <f t="shared" si="0"/>
        <v>RIGHT AND LEFT SIDE WALL OF BALLASTING BOX (THICKNESS 1mm) V2</v>
      </c>
      <c r="F28" s="211"/>
      <c r="G28" s="199">
        <v>0</v>
      </c>
      <c r="H28" s="162">
        <f t="shared" ref="H28:H32" si="2">2*$H$26</f>
        <v>0</v>
      </c>
      <c r="I28" s="163">
        <f t="shared" si="1"/>
        <v>0</v>
      </c>
      <c r="J28" s="164"/>
      <c r="K28" s="115"/>
      <c r="L28" s="117"/>
      <c r="M28" s="115"/>
      <c r="N28" s="115"/>
      <c r="O28" s="130"/>
      <c r="P28" s="130"/>
      <c r="Q28" s="130"/>
      <c r="R28" s="115"/>
      <c r="S28" s="115"/>
      <c r="T28" s="115"/>
      <c r="U28" s="115"/>
      <c r="V28" s="115"/>
      <c r="W28" s="115"/>
      <c r="X28" s="115"/>
    </row>
    <row r="29" spans="1:24" ht="25.95" customHeight="1" x14ac:dyDescent="0.3">
      <c r="A29" s="115"/>
      <c r="B29" s="165">
        <v>4</v>
      </c>
      <c r="C29" s="161" t="s">
        <v>54</v>
      </c>
      <c r="D29" s="198"/>
      <c r="E29" s="210" t="str">
        <f t="shared" si="0"/>
        <v>FRONT FIXING SQUARE BOTTOM PART (THICKNESS 3mm)</v>
      </c>
      <c r="F29" s="211"/>
      <c r="G29" s="199">
        <v>0</v>
      </c>
      <c r="H29" s="162">
        <f t="shared" si="2"/>
        <v>0</v>
      </c>
      <c r="I29" s="163">
        <f t="shared" si="1"/>
        <v>0</v>
      </c>
      <c r="J29" s="159"/>
      <c r="K29" s="115"/>
      <c r="L29" s="117"/>
      <c r="M29" s="115"/>
      <c r="N29" s="115"/>
      <c r="O29" s="130"/>
      <c r="P29" s="130"/>
      <c r="Q29" s="130"/>
      <c r="R29" s="115"/>
      <c r="S29" s="115"/>
      <c r="T29" s="115"/>
      <c r="U29" s="115"/>
      <c r="V29" s="115"/>
      <c r="W29" s="115"/>
      <c r="X29" s="115"/>
    </row>
    <row r="30" spans="1:24" ht="23.4" customHeight="1" x14ac:dyDescent="0.3">
      <c r="A30" s="115"/>
      <c r="B30" s="165">
        <v>5</v>
      </c>
      <c r="C30" s="161" t="s">
        <v>55</v>
      </c>
      <c r="D30" s="198"/>
      <c r="E30" s="210" t="str">
        <f t="shared" si="0"/>
        <v>BACK FIXING SQUARE TOP PART (THICKNESS 3mm)</v>
      </c>
      <c r="F30" s="211"/>
      <c r="G30" s="199">
        <v>0</v>
      </c>
      <c r="H30" s="162">
        <f t="shared" si="2"/>
        <v>0</v>
      </c>
      <c r="I30" s="163">
        <f t="shared" si="1"/>
        <v>0</v>
      </c>
      <c r="J30" s="159"/>
      <c r="K30" s="115"/>
      <c r="L30" s="117"/>
      <c r="M30" s="115"/>
      <c r="N30" s="115"/>
      <c r="O30" s="201" t="s">
        <v>168</v>
      </c>
      <c r="P30" s="201"/>
      <c r="Q30" s="130"/>
      <c r="R30" s="115"/>
      <c r="S30" s="115"/>
      <c r="T30" s="115"/>
      <c r="U30" s="115"/>
      <c r="V30" s="115"/>
      <c r="W30" s="115"/>
      <c r="X30" s="115"/>
    </row>
    <row r="31" spans="1:24" ht="22.2" customHeight="1" x14ac:dyDescent="0.3">
      <c r="A31" s="115"/>
      <c r="B31" s="166">
        <v>6</v>
      </c>
      <c r="C31" s="161" t="s">
        <v>96</v>
      </c>
      <c r="D31" s="198"/>
      <c r="E31" s="210" t="str">
        <f t="shared" si="0"/>
        <v>CORNER PIECE  L (THICKNESS 2mm) FIXED LENGTH 550mm v2</v>
      </c>
      <c r="F31" s="211"/>
      <c r="G31" s="199">
        <v>0</v>
      </c>
      <c r="H31" s="162">
        <f t="shared" si="2"/>
        <v>0</v>
      </c>
      <c r="I31" s="163">
        <f t="shared" si="1"/>
        <v>0</v>
      </c>
      <c r="J31" s="159"/>
      <c r="K31" s="115"/>
      <c r="L31" s="202" t="s">
        <v>164</v>
      </c>
      <c r="M31" s="203"/>
      <c r="N31" s="115"/>
      <c r="O31" s="130"/>
      <c r="P31" s="130"/>
      <c r="Q31" s="130"/>
      <c r="R31" s="115"/>
      <c r="S31" s="115"/>
      <c r="T31" s="115"/>
      <c r="U31" s="115"/>
      <c r="V31" s="115"/>
      <c r="W31" s="115"/>
      <c r="X31" s="115"/>
    </row>
    <row r="32" spans="1:24" ht="21" customHeight="1" x14ac:dyDescent="0.3">
      <c r="A32" s="115"/>
      <c r="B32" s="166">
        <v>7</v>
      </c>
      <c r="C32" s="161" t="s">
        <v>98</v>
      </c>
      <c r="D32" s="198"/>
      <c r="E32" s="210" t="str">
        <f t="shared" si="0"/>
        <v>CORNER PIECE L (THICKNESS 2mm) ADJUSTABLE LENGTH 1233mm v2</v>
      </c>
      <c r="F32" s="211"/>
      <c r="G32" s="199">
        <v>0</v>
      </c>
      <c r="H32" s="162">
        <f t="shared" si="2"/>
        <v>0</v>
      </c>
      <c r="I32" s="163">
        <f t="shared" si="1"/>
        <v>0</v>
      </c>
      <c r="J32" s="159"/>
      <c r="K32" s="167" t="s">
        <v>163</v>
      </c>
      <c r="L32" s="168" t="s">
        <v>162</v>
      </c>
      <c r="M32" s="169" t="s">
        <v>88</v>
      </c>
      <c r="N32" s="115"/>
      <c r="O32" s="130"/>
      <c r="P32" s="130"/>
      <c r="Q32" s="130"/>
      <c r="R32" s="115"/>
      <c r="S32" s="115"/>
      <c r="T32" s="115"/>
      <c r="U32" s="115"/>
      <c r="V32" s="115"/>
      <c r="W32" s="115"/>
      <c r="X32" s="115"/>
    </row>
    <row r="33" spans="1:24" ht="30.6" customHeight="1" x14ac:dyDescent="0.3">
      <c r="A33" s="115"/>
      <c r="B33" s="170">
        <v>8</v>
      </c>
      <c r="C33" s="161" t="s">
        <v>63</v>
      </c>
      <c r="D33" s="198"/>
      <c r="E33" s="210" t="str">
        <f>VLOOKUP(C33,Ref_art,2,FALSE)&amp;" (Cdt 100p)"</f>
        <v>M6 SCREW AND WASHER TIGHTNING  - FIX. CORNER (100pcs) (Cdt 100p)</v>
      </c>
      <c r="F33" s="211"/>
      <c r="G33" s="199">
        <v>0</v>
      </c>
      <c r="H33" s="171">
        <f>SUM($E$7*CEILING(2*36,100),$E$8*CEILING(2*36,100),$E$9*CEILING(3*36,100),CEILING(IF($H$7=2,2*$H$8,($H$7*$H$8)/2)*36,100))</f>
        <v>0</v>
      </c>
      <c r="I33" s="163">
        <f t="shared" si="1"/>
        <v>0</v>
      </c>
      <c r="J33" s="159"/>
      <c r="K33" s="172">
        <f>H26*36</f>
        <v>0</v>
      </c>
      <c r="L33" s="173">
        <f>SUM($E$7*CEILING(2*36,100),$E$8*CEILING(2*36,100),$E$9*CEILING(3*36,100),CEILING(IF($H$7=2,2*$H$8,($H$7*$H$8)/2)*36,100))</f>
        <v>0</v>
      </c>
      <c r="M33" s="174">
        <f>CEILING($H$26*36,100)</f>
        <v>0</v>
      </c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</row>
    <row r="34" spans="1:24" ht="24" customHeight="1" x14ac:dyDescent="0.3">
      <c r="A34" s="115"/>
      <c r="B34" s="170">
        <v>9</v>
      </c>
      <c r="C34" s="161" t="s">
        <v>64</v>
      </c>
      <c r="D34" s="198"/>
      <c r="E34" s="210" t="str">
        <f>VLOOKUP(C34,Ref_art,2,FALSE)&amp;" (Cdt 100p)"</f>
        <v>M6 WASHER FOR M6 SCREW (100pcs) (Cdt 100p)</v>
      </c>
      <c r="F34" s="211"/>
      <c r="G34" s="199">
        <v>0</v>
      </c>
      <c r="H34" s="171">
        <f>H33</f>
        <v>0</v>
      </c>
      <c r="I34" s="163">
        <f t="shared" si="1"/>
        <v>0</v>
      </c>
      <c r="J34" s="159"/>
      <c r="K34" s="172">
        <f>K33</f>
        <v>0</v>
      </c>
      <c r="L34" s="173">
        <f>L33</f>
        <v>0</v>
      </c>
      <c r="M34" s="174">
        <f>$M$33</f>
        <v>0</v>
      </c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</row>
    <row r="35" spans="1:24" ht="33.6" customHeight="1" x14ac:dyDescent="0.3">
      <c r="A35" s="115"/>
      <c r="B35" s="175">
        <v>10</v>
      </c>
      <c r="C35" s="161" t="s">
        <v>59</v>
      </c>
      <c r="D35" s="198"/>
      <c r="E35" s="210" t="str">
        <f>VLOOKUP(C35,Ref_art,2,FALSE)&amp;" (Cdt 20p)"</f>
        <v>M10 PANS BOLT WITH AUTOBLOCKING BINDING WASHER FOR FIXING SQUARE &amp; JUNCTION CORNER PIECE(20pcs) (Cdt 20p)</v>
      </c>
      <c r="F35" s="211"/>
      <c r="G35" s="199">
        <v>0</v>
      </c>
      <c r="H35" s="171">
        <f>SUM($E$7*CEILING(2*8,20),$E$8*CEILING(2*8+IF($D$11=Données!$E$5,2*4,0),20),$E$9*CEILING(3*8+IF($D$11=Données!$E$5,4*4,0),20),CEILING(IF($H$7=2,2*$H$8*8,($H$7*$H$8)/2*8+IF($D$11=Données!$E$5,($H$7-2)*$H$8*4,0)),20))</f>
        <v>0</v>
      </c>
      <c r="I35" s="163">
        <f t="shared" si="1"/>
        <v>0</v>
      </c>
      <c r="J35" s="159"/>
      <c r="K35" s="172">
        <f>SUM(2*$H$29,2*$H$30,$H$41*4)</f>
        <v>0</v>
      </c>
      <c r="L35" s="173">
        <f>SUM($E$7*CEILING(2*8,20),$E$8*CEILING(2*8+IF($D$11=Données!$E$5,2*4,0),20),$E$9*CEILING(3*8+IF($D$11=Données!$E$5,4*4,0),20),CEILING(IF($H$7=2,2*$H$8*8,($H$7*$H$8)/2*8+IF($D$11=Données!$E$5,($H$7-2)*$H$8*4,0)),20))</f>
        <v>0</v>
      </c>
      <c r="M35" s="174">
        <f>CEILING(SUM(2*$H$29,2*$H$30,$H$41*4),20)</f>
        <v>0</v>
      </c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</row>
    <row r="36" spans="1:24" ht="31.95" customHeight="1" x14ac:dyDescent="0.3">
      <c r="A36" s="115"/>
      <c r="B36" s="175">
        <v>11</v>
      </c>
      <c r="C36" s="161" t="s">
        <v>60</v>
      </c>
      <c r="D36" s="198"/>
      <c r="E36" s="210" t="str">
        <f>VLOOKUP(C36,Ref_art,2,FALSE)&amp;" (Cdt 20p)"</f>
        <v>M10 PANS NUT WITH BINDING WASHER FOR M10 SCREW (20pcs) (Cdt 20p)</v>
      </c>
      <c r="F36" s="211"/>
      <c r="G36" s="199">
        <v>0</v>
      </c>
      <c r="H36" s="171">
        <f>H35</f>
        <v>0</v>
      </c>
      <c r="I36" s="163">
        <f t="shared" si="1"/>
        <v>0</v>
      </c>
      <c r="J36" s="159"/>
      <c r="K36" s="172">
        <f>K35</f>
        <v>0</v>
      </c>
      <c r="L36" s="176">
        <f>L35</f>
        <v>0</v>
      </c>
      <c r="M36" s="177">
        <f>$M$35</f>
        <v>0</v>
      </c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</row>
    <row r="37" spans="1:24" x14ac:dyDescent="0.3">
      <c r="A37" s="115"/>
      <c r="B37" s="218" t="s">
        <v>165</v>
      </c>
      <c r="C37" s="218"/>
      <c r="D37" s="218"/>
      <c r="E37" s="218"/>
      <c r="F37" s="218"/>
      <c r="G37" s="218"/>
      <c r="H37" s="218"/>
      <c r="I37" s="219"/>
      <c r="J37" s="178"/>
      <c r="K37" s="179"/>
      <c r="L37" s="115"/>
      <c r="M37" s="180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</row>
    <row r="38" spans="1:24" ht="22.2" customHeight="1" x14ac:dyDescent="0.3">
      <c r="A38" s="115"/>
      <c r="B38" s="181">
        <v>12</v>
      </c>
      <c r="C38" s="156" t="s">
        <v>217</v>
      </c>
      <c r="D38" s="197"/>
      <c r="E38" s="213" t="str">
        <f>VLOOKUP(C38,Ref_art,2,FALSE)</f>
        <v xml:space="preserve">Z BAR SUPPORT FOR PV PANEL (THICKNESS 3mm x L 2320mm) </v>
      </c>
      <c r="F38" s="214"/>
      <c r="G38" s="199">
        <v>0</v>
      </c>
      <c r="H38" s="157">
        <f>IF($D$11=Données!$E$5,SUM(Données!Q15:Q18),0)</f>
        <v>0</v>
      </c>
      <c r="I38" s="182">
        <f t="shared" si="1"/>
        <v>0</v>
      </c>
      <c r="J38" s="159"/>
      <c r="K38" s="179"/>
      <c r="L38" s="117"/>
      <c r="M38" s="180"/>
      <c r="N38" s="115"/>
      <c r="O38" s="130"/>
      <c r="P38" s="130"/>
      <c r="Q38" s="130"/>
      <c r="R38" s="115"/>
      <c r="S38" s="115"/>
      <c r="T38" s="115"/>
      <c r="U38" s="115"/>
      <c r="V38" s="115"/>
      <c r="W38" s="115"/>
      <c r="X38" s="115"/>
    </row>
    <row r="39" spans="1:24" ht="21.6" customHeight="1" x14ac:dyDescent="0.3">
      <c r="A39" s="115"/>
      <c r="B39" s="183">
        <v>13</v>
      </c>
      <c r="C39" s="161" t="s">
        <v>61</v>
      </c>
      <c r="D39" s="198"/>
      <c r="E39" s="210" t="str">
        <f>VLOOKUP(C39,Ref_art,2,FALSE)&amp;" (Cdt 20p)"</f>
        <v>M8 ROUNDED-HEAD SCREW - MODULE FIXING / "Z" PAN (20pcs) (Cdt 20p)</v>
      </c>
      <c r="F39" s="211"/>
      <c r="G39" s="199">
        <v>0</v>
      </c>
      <c r="H39" s="171">
        <f>IF($D$11=Données!$E$5,SUM($E$7*CEILING(2*4,20),$E$8*CEILING(4*4,20),$E$9*CEILING(6*4,20),CEILING(H7*H8*4,20)),0)</f>
        <v>0</v>
      </c>
      <c r="I39" s="163">
        <f t="shared" si="1"/>
        <v>0</v>
      </c>
      <c r="J39" s="159"/>
      <c r="K39" s="172">
        <f>IF($D$11=Données!$E$5,4*$E$17,0)</f>
        <v>0</v>
      </c>
      <c r="L39" s="184">
        <f>IF($D$11=Données!$E$5,SUM($E$7*CEILING(2*4,20),$E$8*CEILING(4*4,20),$E$9*CEILING(6*4,20),CEILING(L7*L8*4,20)),0)</f>
        <v>0</v>
      </c>
      <c r="M39" s="185">
        <f>CEILING(IF($D$11=Données!$E$5,4*$E$17,0),20)</f>
        <v>0</v>
      </c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</row>
    <row r="40" spans="1:24" ht="23.4" customHeight="1" x14ac:dyDescent="0.3">
      <c r="A40" s="115"/>
      <c r="B40" s="183">
        <v>14</v>
      </c>
      <c r="C40" s="161" t="s">
        <v>62</v>
      </c>
      <c r="D40" s="198"/>
      <c r="E40" s="210" t="str">
        <f>VLOOKUP(C40,Ref_art,2,FALSE)&amp;" (Cdt 20p)"</f>
        <v>M8 PANS NUT WITH BINDING WASHER OFR M8 SCREW (20pcs) (Cdt 20p)</v>
      </c>
      <c r="F40" s="211"/>
      <c r="G40" s="199">
        <v>0</v>
      </c>
      <c r="H40" s="171">
        <f>H39</f>
        <v>0</v>
      </c>
      <c r="I40" s="163">
        <f t="shared" si="1"/>
        <v>0</v>
      </c>
      <c r="J40" s="159"/>
      <c r="K40" s="172">
        <f>$K$39</f>
        <v>0</v>
      </c>
      <c r="L40" s="186">
        <f>L39</f>
        <v>0</v>
      </c>
      <c r="M40" s="185">
        <f>$M$39</f>
        <v>0</v>
      </c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</row>
    <row r="41" spans="1:24" ht="19.8" customHeight="1" x14ac:dyDescent="0.3">
      <c r="A41" s="115"/>
      <c r="B41" s="187">
        <v>15</v>
      </c>
      <c r="C41" s="161" t="s">
        <v>58</v>
      </c>
      <c r="D41" s="198"/>
      <c r="E41" s="210" t="str">
        <f>VLOOKUP(C41,Ref_art,2,FALSE)</f>
        <v>JUNCTION CORNER PIECE FOR Z BAR</v>
      </c>
      <c r="F41" s="211"/>
      <c r="G41" s="199">
        <v>0</v>
      </c>
      <c r="H41" s="162">
        <f>IF($D$11=Données!$E$5,IF(SUM(2*$E$8,4*$E$9,IF($H$7=2,0,($H$7/2-1)*2*$H$8))=-2,0,SUM(2*$E$8,4*$E$9,IF($H$7=2,0,($H$7/2-1)*2*$H$8))),0)</f>
        <v>0</v>
      </c>
      <c r="I41" s="163">
        <f t="shared" si="1"/>
        <v>0</v>
      </c>
      <c r="J41" s="159"/>
      <c r="K41" s="188"/>
      <c r="L41" s="117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</row>
    <row r="42" spans="1:24" x14ac:dyDescent="0.3">
      <c r="A42" s="115"/>
      <c r="B42" s="237" t="s">
        <v>166</v>
      </c>
      <c r="C42" s="237"/>
      <c r="D42" s="237"/>
      <c r="E42" s="237"/>
      <c r="F42" s="237"/>
      <c r="G42" s="237"/>
      <c r="H42" s="237"/>
      <c r="I42" s="238"/>
      <c r="J42" s="178"/>
      <c r="K42" s="132"/>
      <c r="L42" s="117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</row>
    <row r="43" spans="1:24" ht="24" customHeight="1" x14ac:dyDescent="0.3">
      <c r="A43" s="115"/>
      <c r="B43" s="189">
        <v>16</v>
      </c>
      <c r="C43" s="156" t="s">
        <v>107</v>
      </c>
      <c r="D43" s="197"/>
      <c r="E43" s="213" t="str">
        <f t="shared" ref="E43:E48" si="3">VLOOKUP(C43,Ref_art,2,FALSE)</f>
        <v>RAIL ON ROOF 40X60 - 2.40 M</v>
      </c>
      <c r="F43" s="214"/>
      <c r="G43" s="199">
        <v>0</v>
      </c>
      <c r="H43" s="157">
        <f>SUM(Données!K15:K18)</f>
        <v>0</v>
      </c>
      <c r="I43" s="182">
        <f t="shared" si="1"/>
        <v>0</v>
      </c>
      <c r="J43" s="159"/>
      <c r="K43" s="115"/>
      <c r="L43" s="117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</row>
    <row r="44" spans="1:24" ht="24" customHeight="1" x14ac:dyDescent="0.3">
      <c r="A44" s="115"/>
      <c r="B44" s="189">
        <v>16</v>
      </c>
      <c r="C44" s="156" t="s">
        <v>99</v>
      </c>
      <c r="D44" s="197"/>
      <c r="E44" s="210" t="str">
        <f t="shared" si="3"/>
        <v>RAIL ON ROOF 40X60 - 3.15 M</v>
      </c>
      <c r="F44" s="211"/>
      <c r="G44" s="199">
        <v>0</v>
      </c>
      <c r="H44" s="157">
        <f>SUM(Données!L15:L18)</f>
        <v>0</v>
      </c>
      <c r="I44" s="182">
        <f t="shared" si="1"/>
        <v>0</v>
      </c>
      <c r="J44" s="159"/>
      <c r="K44" s="115"/>
      <c r="L44" s="117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</row>
    <row r="45" spans="1:24" ht="24" customHeight="1" x14ac:dyDescent="0.3">
      <c r="A45" s="115"/>
      <c r="B45" s="189">
        <v>16</v>
      </c>
      <c r="C45" s="156" t="s">
        <v>224</v>
      </c>
      <c r="D45" s="197"/>
      <c r="E45" s="210" t="str">
        <f t="shared" si="3"/>
        <v>RAIL ON ROOF 40x60 - 3.58 M</v>
      </c>
      <c r="F45" s="211"/>
      <c r="G45" s="199">
        <v>0</v>
      </c>
      <c r="H45" s="157">
        <f>SUM(Données!M15:M18)</f>
        <v>0</v>
      </c>
      <c r="I45" s="182">
        <f t="shared" si="1"/>
        <v>0</v>
      </c>
      <c r="J45" s="159"/>
      <c r="K45" s="115"/>
      <c r="L45" s="117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</row>
    <row r="46" spans="1:24" ht="21.6" customHeight="1" x14ac:dyDescent="0.3">
      <c r="A46" s="115"/>
      <c r="B46" s="190">
        <v>17</v>
      </c>
      <c r="C46" s="161" t="s">
        <v>69</v>
      </c>
      <c r="D46" s="198"/>
      <c r="E46" s="210" t="str">
        <f t="shared" si="3"/>
        <v>RAIL CONNECTOR ON ROOF + 4 x SCREW</v>
      </c>
      <c r="F46" s="211"/>
      <c r="G46" s="199">
        <v>0</v>
      </c>
      <c r="H46" s="162">
        <f>SUM(Données!N15:N18)</f>
        <v>0</v>
      </c>
      <c r="I46" s="163">
        <f t="shared" si="1"/>
        <v>0</v>
      </c>
      <c r="J46" s="159"/>
      <c r="K46" s="115"/>
      <c r="L46" s="117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</row>
    <row r="47" spans="1:24" ht="24" customHeight="1" x14ac:dyDescent="0.3">
      <c r="A47" s="115"/>
      <c r="B47" s="191">
        <v>18</v>
      </c>
      <c r="C47" s="192" t="e">
        <f>IF(E13="ALU",VLOOKUP(G16,choix_etriers,3,0),VLOOKUP(G16,choix_etriers,5,0))</f>
        <v>#N/A</v>
      </c>
      <c r="D47" s="198"/>
      <c r="E47" s="196" t="e">
        <f t="shared" si="3"/>
        <v>#N/A</v>
      </c>
      <c r="F47" s="115"/>
      <c r="G47" s="199">
        <v>0</v>
      </c>
      <c r="H47" s="162">
        <f>IF($D$11=Données!$E$4,IF(SUM($E$7*2,$E$8*6,$E$9*10,($H$7+$H$7-2)*$H$8)&gt;-2,SUM($E$7*2,$E$8*6,$E$9*10,($H$7+$H$7-2)*$H$8),0),0)</f>
        <v>0</v>
      </c>
      <c r="I47" s="163">
        <f t="shared" si="1"/>
        <v>0</v>
      </c>
      <c r="J47" s="159"/>
      <c r="K47" s="115"/>
      <c r="L47" s="117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</row>
    <row r="48" spans="1:24" ht="22.8" customHeight="1" x14ac:dyDescent="0.3">
      <c r="A48" s="115"/>
      <c r="B48" s="191">
        <v>19</v>
      </c>
      <c r="C48" s="192" t="e">
        <f>IF(E13="ALU",VLOOKUP(G16,choix_etriers,8,0),VLOOKUP(G16,choix_etriers,10,0))</f>
        <v>#N/A</v>
      </c>
      <c r="D48" s="198"/>
      <c r="E48" s="210" t="e">
        <f t="shared" si="3"/>
        <v>#N/A</v>
      </c>
      <c r="F48" s="211"/>
      <c r="G48" s="199">
        <v>0</v>
      </c>
      <c r="H48" s="162">
        <f>IF($E$17=0,0,IF($D$11=Données!$E$4,SUM(4*$E$7,4*$E$8,4*$E$9,4*$H$8),0))</f>
        <v>0</v>
      </c>
      <c r="I48" s="163">
        <f t="shared" si="1"/>
        <v>0</v>
      </c>
      <c r="J48" s="159"/>
      <c r="K48" s="115"/>
      <c r="L48" s="117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</row>
    <row r="49" spans="1:24" x14ac:dyDescent="0.3">
      <c r="A49" s="115"/>
      <c r="B49" s="239" t="s">
        <v>167</v>
      </c>
      <c r="C49" s="239"/>
      <c r="D49" s="239"/>
      <c r="E49" s="239"/>
      <c r="F49" s="239"/>
      <c r="G49" s="239"/>
      <c r="H49" s="239"/>
      <c r="I49" s="240"/>
      <c r="J49" s="116"/>
      <c r="K49" s="115"/>
      <c r="L49" s="117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</row>
    <row r="50" spans="1:24" ht="22.2" customHeight="1" x14ac:dyDescent="0.3">
      <c r="A50" s="115"/>
      <c r="B50" s="193">
        <v>20</v>
      </c>
      <c r="C50" s="156" t="s">
        <v>50</v>
      </c>
      <c r="D50" s="197"/>
      <c r="E50" s="235" t="str">
        <f>VLOOKUP(C50,Ref_art,2,FALSE)</f>
        <v>BACK FIXING SUPPORT KIT - GROUND SYSTEM</v>
      </c>
      <c r="F50" s="236"/>
      <c r="G50" s="199">
        <v>0</v>
      </c>
      <c r="H50" s="157">
        <f>$E$14</f>
        <v>0</v>
      </c>
      <c r="I50" s="182">
        <f t="shared" si="1"/>
        <v>0</v>
      </c>
      <c r="J50" s="159"/>
      <c r="K50" s="188"/>
      <c r="L50" s="117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</row>
    <row r="51" spans="1:24" ht="22.8" customHeight="1" x14ac:dyDescent="0.3">
      <c r="A51" s="115"/>
      <c r="B51" s="192">
        <v>21</v>
      </c>
      <c r="C51" s="161" t="s">
        <v>65</v>
      </c>
      <c r="D51" s="198"/>
      <c r="E51" s="233" t="str">
        <f>VLOOKUP(C51,Ref_art,2,FALSE)</f>
        <v>ANTI-CORROSIVE PROTECTION SPRAY 400mL</v>
      </c>
      <c r="F51" s="234"/>
      <c r="G51" s="199">
        <v>0</v>
      </c>
      <c r="H51" s="162">
        <f>$E$15</f>
        <v>0</v>
      </c>
      <c r="I51" s="163">
        <f t="shared" si="1"/>
        <v>0</v>
      </c>
      <c r="J51" s="159"/>
      <c r="K51" s="188"/>
      <c r="L51" s="117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</row>
    <row r="52" spans="1:24" x14ac:dyDescent="0.3">
      <c r="A52" s="115"/>
      <c r="B52" s="115"/>
      <c r="C52" s="115"/>
      <c r="D52" s="115"/>
      <c r="E52" s="115"/>
      <c r="F52" s="115"/>
      <c r="G52" s="115"/>
      <c r="H52" s="115"/>
      <c r="I52" s="115"/>
      <c r="J52" s="116"/>
      <c r="K52" s="115"/>
      <c r="L52" s="117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</row>
    <row r="53" spans="1:24" ht="18" x14ac:dyDescent="0.35">
      <c r="A53" s="115"/>
      <c r="B53" s="115"/>
      <c r="C53" s="115"/>
      <c r="D53" s="115"/>
      <c r="E53" s="115"/>
      <c r="F53" s="115"/>
      <c r="G53" s="194" t="s">
        <v>161</v>
      </c>
      <c r="H53" s="231">
        <f>SUM(I26:I51)</f>
        <v>0</v>
      </c>
      <c r="I53" s="232"/>
      <c r="J53" s="116"/>
      <c r="K53" s="115"/>
      <c r="L53" s="117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x14ac:dyDescent="0.3">
      <c r="A54" s="115"/>
      <c r="B54" s="115"/>
      <c r="C54" s="115"/>
      <c r="D54" s="115"/>
      <c r="E54" s="115"/>
      <c r="F54" s="115"/>
      <c r="G54" s="115"/>
      <c r="H54" s="115"/>
      <c r="I54" s="115"/>
      <c r="J54" s="116"/>
      <c r="K54" s="115"/>
      <c r="L54" s="117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</row>
    <row r="55" spans="1:24" x14ac:dyDescent="0.3">
      <c r="A55" s="115"/>
      <c r="B55" s="115"/>
      <c r="C55" s="115"/>
      <c r="D55" s="115"/>
      <c r="E55" s="115"/>
      <c r="F55" s="115"/>
      <c r="G55" s="115"/>
      <c r="H55" s="115"/>
      <c r="I55" s="115"/>
      <c r="J55" s="116"/>
      <c r="K55" s="115"/>
      <c r="L55" s="117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</row>
    <row r="56" spans="1:24" x14ac:dyDescent="0.3">
      <c r="A56" s="115"/>
      <c r="B56" s="115"/>
      <c r="C56" s="115"/>
      <c r="D56" s="115"/>
      <c r="E56" s="115"/>
      <c r="F56" s="115"/>
      <c r="G56" s="115"/>
      <c r="H56" s="115"/>
      <c r="I56" s="115"/>
      <c r="J56" s="116"/>
      <c r="K56" s="115"/>
      <c r="L56" s="117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</row>
    <row r="57" spans="1:24" x14ac:dyDescent="0.3">
      <c r="A57" s="115"/>
      <c r="B57" s="115"/>
      <c r="C57" s="115"/>
      <c r="D57" s="115"/>
      <c r="E57" s="115"/>
      <c r="F57" s="115"/>
      <c r="G57" s="115"/>
      <c r="H57" s="115"/>
      <c r="I57" s="115"/>
      <c r="J57" s="116"/>
      <c r="K57" s="115"/>
      <c r="L57" s="117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</row>
    <row r="58" spans="1:24" x14ac:dyDescent="0.3">
      <c r="A58" s="115"/>
      <c r="B58" s="115"/>
      <c r="C58" s="115"/>
      <c r="D58" s="115"/>
      <c r="E58" s="115"/>
      <c r="F58" s="115"/>
      <c r="G58" s="115"/>
      <c r="H58" s="115"/>
      <c r="I58" s="115"/>
      <c r="J58" s="116"/>
      <c r="K58" s="115"/>
      <c r="L58" s="117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</row>
  </sheetData>
  <sheetProtection algorithmName="SHA-512" hashValue="5QjWzXtnXILeDFXxWd5yaQp1UYaTrXNsehQO2yN1jLrO3PG2y6fVHCV+53Y7UhEA1O2B57/QZNqHW+8T2TsMGw==" saltValue="nMuTn6Bmrd9quwEBcaYtdQ==" spinCount="100000" sheet="1" selectLockedCells="1"/>
  <mergeCells count="37">
    <mergeCell ref="H53:I53"/>
    <mergeCell ref="E34:F34"/>
    <mergeCell ref="E33:F33"/>
    <mergeCell ref="E32:F32"/>
    <mergeCell ref="E31:F31"/>
    <mergeCell ref="E51:F51"/>
    <mergeCell ref="E50:F50"/>
    <mergeCell ref="B42:I42"/>
    <mergeCell ref="B49:I49"/>
    <mergeCell ref="E35:F35"/>
    <mergeCell ref="E48:F48"/>
    <mergeCell ref="E44:F44"/>
    <mergeCell ref="E46:F46"/>
    <mergeCell ref="E43:F43"/>
    <mergeCell ref="E41:F41"/>
    <mergeCell ref="E45:F45"/>
    <mergeCell ref="E4:G4"/>
    <mergeCell ref="E40:F40"/>
    <mergeCell ref="E39:F39"/>
    <mergeCell ref="E38:F38"/>
    <mergeCell ref="E36:F36"/>
    <mergeCell ref="C6:E6"/>
    <mergeCell ref="B37:I37"/>
    <mergeCell ref="E26:F26"/>
    <mergeCell ref="E25:F25"/>
    <mergeCell ref="E30:F30"/>
    <mergeCell ref="F22:H22"/>
    <mergeCell ref="B20:E21"/>
    <mergeCell ref="O9:P9"/>
    <mergeCell ref="O30:P30"/>
    <mergeCell ref="L31:M31"/>
    <mergeCell ref="F6:H6"/>
    <mergeCell ref="D11:E11"/>
    <mergeCell ref="F11:G11"/>
    <mergeCell ref="E29:F29"/>
    <mergeCell ref="E28:F28"/>
    <mergeCell ref="E27:F27"/>
  </mergeCells>
  <phoneticPr fontId="12" type="noConversion"/>
  <dataValidations count="1">
    <dataValidation type="list" allowBlank="1" showInputMessage="1" showErrorMessage="1" sqref="E7:E9 E14:E15" xr:uid="{ACB41533-E5FA-42AF-BC2E-059ED38DBB87}">
      <formula1>Nombre_kits</formula1>
    </dataValidation>
  </dataValidations>
  <pageMargins left="0.7" right="0.7" top="0.75" bottom="0.75" header="0.3" footer="0.3"/>
  <pageSetup paperSize="9" scale="62" fitToHeight="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E94AFF40-6289-4AAD-B8A9-001C30A73721}">
          <x14:formula1>
            <xm:f>Données!$B$4:$B$34</xm:f>
          </x14:formula1>
          <xm:sqref>E10</xm:sqref>
        </x14:dataValidation>
        <x14:dataValidation type="list" allowBlank="1" showInputMessage="1" showErrorMessage="1" xr:uid="{D423CDDA-9AC2-46C3-80E1-C8B20A1B3319}">
          <x14:formula1>
            <xm:f>Données!$B$4:$B$24</xm:f>
          </x14:formula1>
          <xm:sqref>H8:I8</xm:sqref>
        </x14:dataValidation>
        <x14:dataValidation type="list" allowBlank="1" showInputMessage="1" showErrorMessage="1" xr:uid="{1FEA968C-D8B2-4F0A-B30A-D48F94A029C7}">
          <x14:formula1>
            <xm:f>Données!$C$4:$C$44</xm:f>
          </x14:formula1>
          <xm:sqref>H7:I7</xm:sqref>
        </x14:dataValidation>
        <x14:dataValidation type="list" allowBlank="1" showInputMessage="1" showErrorMessage="1" xr:uid="{E6A69736-AF58-4C09-8A8D-D672E5051794}">
          <x14:formula1>
            <xm:f>Données!$G$4:$G$5</xm:f>
          </x14:formula1>
          <xm:sqref>E13</xm:sqref>
        </x14:dataValidation>
        <x14:dataValidation type="list" allowBlank="1" showInputMessage="1" showErrorMessage="1" xr:uid="{A5ADE602-964F-4AD3-8371-617328F97D22}">
          <x14:formula1>
            <xm:f>Données!$E$4:$E$5</xm:f>
          </x14:formula1>
          <xm:sqref>D11:D12</xm:sqref>
        </x14:dataValidation>
        <x14:dataValidation type="list" allowBlank="1" showInputMessage="1" showErrorMessage="1" xr:uid="{6C413F85-962E-4A6A-B11F-8BD1494AD0B3}">
          <x14:formula1>
            <xm:f>Données!$I$26:$I$28</xm:f>
          </x14:formula1>
          <xm:sqref>G20</xm:sqref>
        </x14:dataValidation>
        <x14:dataValidation type="list" allowBlank="1" showInputMessage="1" showErrorMessage="1" xr:uid="{3B2E5AD3-F375-4CA9-AAF6-2334B3B2D19E}">
          <x14:formula1>
            <xm:f>Données!$J$26:$J$28</xm:f>
          </x14:formula1>
          <xm:sqref>G21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ED49-CD4E-46B8-B42A-FC3C5CE3CBBA}">
  <sheetPr codeName="Feuil1"/>
  <dimension ref="A1:F51"/>
  <sheetViews>
    <sheetView topLeftCell="A3" zoomScaleNormal="100" workbookViewId="0">
      <selection activeCell="L22" sqref="L22"/>
    </sheetView>
  </sheetViews>
  <sheetFormatPr defaultColWidth="11.44140625" defaultRowHeight="14.4" x14ac:dyDescent="0.3"/>
  <cols>
    <col min="1" max="1" width="4.6640625" style="1" customWidth="1"/>
    <col min="2" max="2" width="31.33203125" style="1" customWidth="1"/>
    <col min="3" max="3" width="31.33203125" style="6" customWidth="1"/>
    <col min="4" max="4" width="87.88671875" style="6" bestFit="1" customWidth="1"/>
    <col min="5" max="5" width="50.6640625" style="1" customWidth="1"/>
    <col min="6" max="219" width="27.5546875" style="1" bestFit="1" customWidth="1"/>
    <col min="220" max="220" width="12.5546875" style="1" bestFit="1" customWidth="1"/>
    <col min="221" max="16384" width="11.44140625" style="1"/>
  </cols>
  <sheetData>
    <row r="1" spans="1:6" ht="15" thickBot="1" x14ac:dyDescent="0.35"/>
    <row r="2" spans="1:6" ht="39.75" customHeight="1" thickBot="1" x14ac:dyDescent="0.35">
      <c r="B2" s="241" t="s">
        <v>42</v>
      </c>
      <c r="C2" s="242"/>
      <c r="D2" s="243"/>
    </row>
    <row r="3" spans="1:6" s="9" customFormat="1" ht="24" thickBot="1" x14ac:dyDescent="0.35">
      <c r="B3" s="7" t="s">
        <v>39</v>
      </c>
      <c r="C3" s="7" t="s">
        <v>40</v>
      </c>
      <c r="D3" s="8" t="s">
        <v>41</v>
      </c>
      <c r="E3" s="8" t="s">
        <v>103</v>
      </c>
    </row>
    <row r="4" spans="1:6" ht="15.75" customHeight="1" x14ac:dyDescent="0.3">
      <c r="B4" s="10" t="s">
        <v>43</v>
      </c>
      <c r="C4" s="11" t="s">
        <v>44</v>
      </c>
      <c r="D4" s="79" t="s">
        <v>199</v>
      </c>
      <c r="E4" s="84"/>
      <c r="F4" s="111"/>
    </row>
    <row r="5" spans="1:6" ht="15.75" customHeight="1" x14ac:dyDescent="0.3">
      <c r="B5" s="12" t="s">
        <v>45</v>
      </c>
      <c r="C5" s="13" t="s">
        <v>46</v>
      </c>
      <c r="D5" s="80" t="s">
        <v>200</v>
      </c>
      <c r="E5" s="85"/>
      <c r="F5" s="111"/>
    </row>
    <row r="6" spans="1:6" ht="15.75" customHeight="1" x14ac:dyDescent="0.3">
      <c r="B6" s="12" t="s">
        <v>47</v>
      </c>
      <c r="C6" s="13" t="s">
        <v>48</v>
      </c>
      <c r="D6" s="80" t="s">
        <v>201</v>
      </c>
      <c r="E6" s="85"/>
      <c r="F6" s="111"/>
    </row>
    <row r="7" spans="1:6" ht="16.5" customHeight="1" thickBot="1" x14ac:dyDescent="0.35">
      <c r="A7" s="99"/>
      <c r="B7" s="102" t="s">
        <v>49</v>
      </c>
      <c r="C7" s="16" t="s">
        <v>50</v>
      </c>
      <c r="D7" s="103" t="s">
        <v>202</v>
      </c>
      <c r="E7" s="86"/>
      <c r="F7" s="111"/>
    </row>
    <row r="8" spans="1:6" ht="16.5" customHeight="1" x14ac:dyDescent="0.3">
      <c r="A8" s="83">
        <v>1</v>
      </c>
      <c r="B8" s="100" t="s">
        <v>1</v>
      </c>
      <c r="C8" s="22" t="s">
        <v>51</v>
      </c>
      <c r="D8" s="101" t="s">
        <v>203</v>
      </c>
      <c r="E8" s="83"/>
      <c r="F8" s="111"/>
    </row>
    <row r="9" spans="1:6" ht="16.5" customHeight="1" x14ac:dyDescent="0.3">
      <c r="A9" s="2">
        <v>2</v>
      </c>
      <c r="B9" s="14" t="s">
        <v>2</v>
      </c>
      <c r="C9" s="13" t="s">
        <v>52</v>
      </c>
      <c r="D9" s="81" t="s">
        <v>204</v>
      </c>
      <c r="E9" s="2"/>
      <c r="F9" s="111"/>
    </row>
    <row r="10" spans="1:6" ht="16.5" customHeight="1" x14ac:dyDescent="0.3">
      <c r="A10" s="2">
        <v>3</v>
      </c>
      <c r="B10" s="14" t="s">
        <v>3</v>
      </c>
      <c r="C10" s="13" t="s">
        <v>53</v>
      </c>
      <c r="D10" s="81" t="s">
        <v>205</v>
      </c>
      <c r="E10" s="2"/>
      <c r="F10" s="111"/>
    </row>
    <row r="11" spans="1:6" ht="16.5" customHeight="1" x14ac:dyDescent="0.3">
      <c r="A11" s="2">
        <v>4</v>
      </c>
      <c r="B11" s="14" t="s">
        <v>4</v>
      </c>
      <c r="C11" s="13" t="s">
        <v>54</v>
      </c>
      <c r="D11" s="81" t="s">
        <v>206</v>
      </c>
      <c r="E11" s="2"/>
      <c r="F11" s="111"/>
    </row>
    <row r="12" spans="1:6" ht="16.5" customHeight="1" x14ac:dyDescent="0.3">
      <c r="A12" s="2">
        <v>5</v>
      </c>
      <c r="B12" s="14" t="s">
        <v>5</v>
      </c>
      <c r="C12" s="13" t="s">
        <v>55</v>
      </c>
      <c r="D12" s="81" t="s">
        <v>207</v>
      </c>
      <c r="E12" s="2"/>
      <c r="F12" s="111"/>
    </row>
    <row r="13" spans="1:6" ht="16.5" customHeight="1" x14ac:dyDescent="0.3">
      <c r="A13" s="2">
        <v>6</v>
      </c>
      <c r="B13" s="14" t="s">
        <v>6</v>
      </c>
      <c r="C13" s="13" t="s">
        <v>56</v>
      </c>
      <c r="D13" s="81" t="s">
        <v>196</v>
      </c>
      <c r="E13" s="2"/>
      <c r="F13" s="113"/>
    </row>
    <row r="14" spans="1:6" ht="16.5" customHeight="1" x14ac:dyDescent="0.3">
      <c r="A14" s="2">
        <v>7</v>
      </c>
      <c r="B14" s="14" t="s">
        <v>7</v>
      </c>
      <c r="C14" s="13" t="s">
        <v>57</v>
      </c>
      <c r="D14" s="112" t="s">
        <v>197</v>
      </c>
      <c r="E14" s="2"/>
      <c r="F14" s="111"/>
    </row>
    <row r="15" spans="1:6" ht="16.5" customHeight="1" x14ac:dyDescent="0.3">
      <c r="A15" s="2">
        <v>8</v>
      </c>
      <c r="B15" s="14" t="s">
        <v>8</v>
      </c>
      <c r="C15" s="13" t="s">
        <v>217</v>
      </c>
      <c r="D15" s="81" t="s">
        <v>208</v>
      </c>
      <c r="E15" s="2"/>
      <c r="F15" s="111"/>
    </row>
    <row r="16" spans="1:6" ht="16.5" customHeight="1" x14ac:dyDescent="0.3">
      <c r="A16" s="2">
        <v>9</v>
      </c>
      <c r="B16" s="14" t="s">
        <v>9</v>
      </c>
      <c r="C16" s="13" t="s">
        <v>58</v>
      </c>
      <c r="D16" s="81" t="s">
        <v>116</v>
      </c>
      <c r="E16" s="2"/>
      <c r="F16" s="111"/>
    </row>
    <row r="17" spans="1:6" ht="16.5" customHeight="1" x14ac:dyDescent="0.3">
      <c r="A17" s="2">
        <v>10</v>
      </c>
      <c r="B17" s="14" t="s">
        <v>10</v>
      </c>
      <c r="C17" s="13" t="s">
        <v>59</v>
      </c>
      <c r="D17" s="81" t="s">
        <v>209</v>
      </c>
      <c r="E17" s="2"/>
      <c r="F17" s="111"/>
    </row>
    <row r="18" spans="1:6" ht="16.5" customHeight="1" x14ac:dyDescent="0.3">
      <c r="A18" s="2">
        <v>11</v>
      </c>
      <c r="B18" s="14" t="s">
        <v>11</v>
      </c>
      <c r="C18" s="13" t="s">
        <v>60</v>
      </c>
      <c r="D18" s="81" t="s">
        <v>114</v>
      </c>
      <c r="E18" s="2"/>
      <c r="F18" s="111"/>
    </row>
    <row r="19" spans="1:6" ht="16.5" customHeight="1" x14ac:dyDescent="0.3">
      <c r="A19" s="2">
        <v>12</v>
      </c>
      <c r="B19" s="14" t="s">
        <v>12</v>
      </c>
      <c r="C19" s="13" t="s">
        <v>61</v>
      </c>
      <c r="D19" s="81" t="s">
        <v>210</v>
      </c>
      <c r="E19" s="2"/>
      <c r="F19" s="111"/>
    </row>
    <row r="20" spans="1:6" ht="16.5" customHeight="1" x14ac:dyDescent="0.3">
      <c r="A20" s="2">
        <v>13</v>
      </c>
      <c r="B20" s="14" t="s">
        <v>13</v>
      </c>
      <c r="C20" s="13" t="s">
        <v>62</v>
      </c>
      <c r="D20" s="81" t="s">
        <v>115</v>
      </c>
      <c r="E20" s="2"/>
      <c r="F20" s="111"/>
    </row>
    <row r="21" spans="1:6" ht="16.5" customHeight="1" x14ac:dyDescent="0.3">
      <c r="A21" s="2">
        <v>14</v>
      </c>
      <c r="B21" s="14" t="s">
        <v>14</v>
      </c>
      <c r="C21" s="13" t="s">
        <v>63</v>
      </c>
      <c r="D21" s="81" t="s">
        <v>112</v>
      </c>
      <c r="E21" s="2"/>
      <c r="F21" s="111"/>
    </row>
    <row r="22" spans="1:6" ht="16.5" customHeight="1" x14ac:dyDescent="0.3">
      <c r="A22" s="2">
        <v>15</v>
      </c>
      <c r="B22" s="14" t="s">
        <v>15</v>
      </c>
      <c r="C22" s="13" t="s">
        <v>64</v>
      </c>
      <c r="D22" s="81" t="s">
        <v>113</v>
      </c>
      <c r="E22" s="2"/>
      <c r="F22" s="111"/>
    </row>
    <row r="23" spans="1:6" ht="16.5" customHeight="1" thickBot="1" x14ac:dyDescent="0.35">
      <c r="A23" s="2">
        <v>16</v>
      </c>
      <c r="B23" s="15" t="s">
        <v>16</v>
      </c>
      <c r="C23" s="16" t="s">
        <v>65</v>
      </c>
      <c r="D23" s="82" t="s">
        <v>198</v>
      </c>
      <c r="E23" s="108"/>
      <c r="F23" s="111"/>
    </row>
    <row r="24" spans="1:6" ht="15.6" x14ac:dyDescent="0.3">
      <c r="B24" s="104" t="s">
        <v>89</v>
      </c>
      <c r="C24" s="105" t="s">
        <v>90</v>
      </c>
      <c r="D24" s="106" t="s">
        <v>211</v>
      </c>
      <c r="E24" s="107"/>
    </row>
    <row r="25" spans="1:6" ht="15.6" x14ac:dyDescent="0.3">
      <c r="B25" s="32" t="s">
        <v>91</v>
      </c>
      <c r="C25" s="33" t="s">
        <v>92</v>
      </c>
      <c r="D25" s="87" t="s">
        <v>212</v>
      </c>
      <c r="E25" s="88"/>
    </row>
    <row r="26" spans="1:6" ht="15.6" x14ac:dyDescent="0.3">
      <c r="B26" s="32" t="s">
        <v>93</v>
      </c>
      <c r="C26" s="33" t="s">
        <v>94</v>
      </c>
      <c r="D26" s="87" t="s">
        <v>213</v>
      </c>
      <c r="E26" s="88"/>
    </row>
    <row r="27" spans="1:6" ht="15.6" x14ac:dyDescent="0.3">
      <c r="B27" s="32" t="s">
        <v>95</v>
      </c>
      <c r="C27" s="33" t="s">
        <v>96</v>
      </c>
      <c r="D27" s="87" t="s">
        <v>110</v>
      </c>
      <c r="E27" s="88"/>
    </row>
    <row r="28" spans="1:6" ht="16.2" thickBot="1" x14ac:dyDescent="0.35">
      <c r="B28" s="34" t="s">
        <v>97</v>
      </c>
      <c r="C28" s="35" t="s">
        <v>98</v>
      </c>
      <c r="D28" s="87" t="s">
        <v>111</v>
      </c>
      <c r="E28" s="89"/>
    </row>
    <row r="29" spans="1:6" ht="15" thickBot="1" x14ac:dyDescent="0.35"/>
    <row r="30" spans="1:6" ht="21.6" thickBot="1" x14ac:dyDescent="0.45">
      <c r="B30" s="24"/>
      <c r="C30" s="26" t="s">
        <v>170</v>
      </c>
      <c r="D30" s="25"/>
    </row>
    <row r="31" spans="1:6" ht="15.6" x14ac:dyDescent="0.3">
      <c r="A31" s="3">
        <v>17</v>
      </c>
      <c r="B31" s="21" t="s">
        <v>68</v>
      </c>
      <c r="C31" s="22" t="s">
        <v>107</v>
      </c>
      <c r="D31" s="23" t="s">
        <v>104</v>
      </c>
    </row>
    <row r="32" spans="1:6" ht="15.6" x14ac:dyDescent="0.3">
      <c r="A32" s="3">
        <v>18</v>
      </c>
      <c r="B32" s="21" t="s">
        <v>226</v>
      </c>
      <c r="C32" s="22" t="s">
        <v>99</v>
      </c>
      <c r="D32" s="23" t="s">
        <v>223</v>
      </c>
    </row>
    <row r="33" spans="1:4" ht="15.6" x14ac:dyDescent="0.3">
      <c r="A33" s="3">
        <v>19</v>
      </c>
      <c r="B33" s="21" t="s">
        <v>227</v>
      </c>
      <c r="C33" s="22" t="s">
        <v>224</v>
      </c>
      <c r="D33" s="23" t="s">
        <v>225</v>
      </c>
    </row>
    <row r="34" spans="1:4" ht="15.6" x14ac:dyDescent="0.3">
      <c r="A34" s="3">
        <v>20</v>
      </c>
      <c r="B34" s="17" t="s">
        <v>18</v>
      </c>
      <c r="C34" s="13" t="s">
        <v>69</v>
      </c>
      <c r="D34" s="18" t="s">
        <v>117</v>
      </c>
    </row>
    <row r="35" spans="1:4" ht="15.6" x14ac:dyDescent="0.3">
      <c r="A35" s="3">
        <v>21</v>
      </c>
      <c r="B35" s="17" t="s">
        <v>19</v>
      </c>
      <c r="C35" s="13" t="s">
        <v>70</v>
      </c>
      <c r="D35" s="18" t="s">
        <v>118</v>
      </c>
    </row>
    <row r="36" spans="1:4" ht="15.6" x14ac:dyDescent="0.3">
      <c r="A36" s="3">
        <v>22</v>
      </c>
      <c r="B36" s="17" t="s">
        <v>33</v>
      </c>
      <c r="C36" s="19" t="s">
        <v>71</v>
      </c>
      <c r="D36" s="18" t="s">
        <v>119</v>
      </c>
    </row>
    <row r="37" spans="1:4" ht="15.6" x14ac:dyDescent="0.3">
      <c r="A37" s="3">
        <v>23</v>
      </c>
      <c r="B37" s="17" t="s">
        <v>25</v>
      </c>
      <c r="C37" s="13" t="s">
        <v>72</v>
      </c>
      <c r="D37" s="18" t="s">
        <v>120</v>
      </c>
    </row>
    <row r="38" spans="1:4" ht="15.6" x14ac:dyDescent="0.3">
      <c r="A38" s="3">
        <v>24</v>
      </c>
      <c r="B38" s="17" t="s">
        <v>34</v>
      </c>
      <c r="C38" s="13" t="s">
        <v>73</v>
      </c>
      <c r="D38" s="18" t="s">
        <v>121</v>
      </c>
    </row>
    <row r="39" spans="1:4" ht="15.6" x14ac:dyDescent="0.3">
      <c r="A39" s="3">
        <v>25</v>
      </c>
      <c r="B39" s="17" t="s">
        <v>26</v>
      </c>
      <c r="C39" s="19" t="s">
        <v>74</v>
      </c>
      <c r="D39" s="18" t="s">
        <v>122</v>
      </c>
    </row>
    <row r="40" spans="1:4" ht="15.6" x14ac:dyDescent="0.3">
      <c r="A40" s="3">
        <v>26</v>
      </c>
      <c r="B40" s="17" t="s">
        <v>20</v>
      </c>
      <c r="C40" s="13" t="s">
        <v>75</v>
      </c>
      <c r="D40" s="18" t="s">
        <v>123</v>
      </c>
    </row>
    <row r="41" spans="1:4" ht="15.6" x14ac:dyDescent="0.3">
      <c r="A41" s="3">
        <v>27</v>
      </c>
      <c r="B41" s="17" t="s">
        <v>29</v>
      </c>
      <c r="C41" s="19" t="s">
        <v>76</v>
      </c>
      <c r="D41" s="18" t="s">
        <v>124</v>
      </c>
    </row>
    <row r="42" spans="1:4" ht="15.6" x14ac:dyDescent="0.3">
      <c r="A42" s="3">
        <v>28</v>
      </c>
      <c r="B42" s="17" t="s">
        <v>31</v>
      </c>
      <c r="C42" s="13" t="s">
        <v>77</v>
      </c>
      <c r="D42" s="18" t="s">
        <v>125</v>
      </c>
    </row>
    <row r="43" spans="1:4" ht="15.6" x14ac:dyDescent="0.3">
      <c r="A43" s="3">
        <v>29</v>
      </c>
      <c r="B43" s="17" t="s">
        <v>35</v>
      </c>
      <c r="C43" s="19" t="s">
        <v>78</v>
      </c>
      <c r="D43" s="18" t="s">
        <v>126</v>
      </c>
    </row>
    <row r="44" spans="1:4" ht="15.6" x14ac:dyDescent="0.3">
      <c r="A44" s="3">
        <v>30</v>
      </c>
      <c r="B44" s="17" t="s">
        <v>37</v>
      </c>
      <c r="C44" s="19" t="s">
        <v>79</v>
      </c>
      <c r="D44" s="18" t="s">
        <v>127</v>
      </c>
    </row>
    <row r="45" spans="1:4" ht="15.6" x14ac:dyDescent="0.3">
      <c r="A45" s="3">
        <v>31</v>
      </c>
      <c r="B45" s="17" t="s">
        <v>101</v>
      </c>
      <c r="C45" s="13" t="s">
        <v>100</v>
      </c>
      <c r="D45" s="18" t="s">
        <v>128</v>
      </c>
    </row>
    <row r="46" spans="1:4" ht="15.6" x14ac:dyDescent="0.3">
      <c r="A46" s="3">
        <v>32</v>
      </c>
      <c r="B46" s="17" t="s">
        <v>27</v>
      </c>
      <c r="C46" s="13" t="s">
        <v>80</v>
      </c>
      <c r="D46" s="18" t="s">
        <v>129</v>
      </c>
    </row>
    <row r="47" spans="1:4" ht="15.6" x14ac:dyDescent="0.3">
      <c r="A47" s="3">
        <v>33</v>
      </c>
      <c r="B47" s="17" t="s">
        <v>81</v>
      </c>
      <c r="C47" s="13" t="s">
        <v>82</v>
      </c>
      <c r="D47" s="18" t="s">
        <v>130</v>
      </c>
    </row>
    <row r="48" spans="1:4" ht="15.6" x14ac:dyDescent="0.3">
      <c r="A48" s="3">
        <v>34</v>
      </c>
      <c r="B48" s="17" t="s">
        <v>30</v>
      </c>
      <c r="C48" s="19" t="s">
        <v>83</v>
      </c>
      <c r="D48" s="18" t="s">
        <v>131</v>
      </c>
    </row>
    <row r="49" spans="1:4" ht="15.6" x14ac:dyDescent="0.3">
      <c r="A49" s="3">
        <v>35</v>
      </c>
      <c r="B49" s="17" t="s">
        <v>32</v>
      </c>
      <c r="C49" s="13" t="s">
        <v>84</v>
      </c>
      <c r="D49" s="18" t="s">
        <v>132</v>
      </c>
    </row>
    <row r="50" spans="1:4" ht="15.6" x14ac:dyDescent="0.3">
      <c r="A50" s="3">
        <v>36</v>
      </c>
      <c r="B50" s="17" t="s">
        <v>36</v>
      </c>
      <c r="C50" s="19" t="s">
        <v>85</v>
      </c>
      <c r="D50" s="18" t="s">
        <v>133</v>
      </c>
    </row>
    <row r="51" spans="1:4" ht="15.6" x14ac:dyDescent="0.3">
      <c r="A51" s="3">
        <v>37</v>
      </c>
      <c r="B51" s="17" t="s">
        <v>38</v>
      </c>
      <c r="C51" s="19" t="s">
        <v>86</v>
      </c>
      <c r="D51" s="18" t="s">
        <v>134</v>
      </c>
    </row>
  </sheetData>
  <mergeCells count="1">
    <mergeCell ref="B2:D2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7BF1-C0D6-4699-B4F5-502A5A272716}">
  <sheetPr codeName="Feuil4"/>
  <dimension ref="B2:R204"/>
  <sheetViews>
    <sheetView topLeftCell="H11" workbookViewId="0">
      <selection activeCell="L22" sqref="L22"/>
    </sheetView>
  </sheetViews>
  <sheetFormatPr defaultColWidth="11.5546875" defaultRowHeight="14.4" x14ac:dyDescent="0.3"/>
  <cols>
    <col min="3" max="3" width="13.88671875" bestFit="1" customWidth="1"/>
    <col min="5" max="5" width="35.33203125" customWidth="1"/>
    <col min="6" max="6" width="16.6640625" style="1" bestFit="1" customWidth="1"/>
    <col min="8" max="8" width="11.5546875" style="20"/>
    <col min="9" max="9" width="28.44140625" bestFit="1" customWidth="1"/>
    <col min="10" max="10" width="18.33203125" style="1" customWidth="1"/>
    <col min="11" max="11" width="19.44140625" customWidth="1"/>
    <col min="12" max="13" width="19.44140625" style="1" customWidth="1"/>
    <col min="14" max="14" width="14.6640625" bestFit="1" customWidth="1"/>
    <col min="15" max="15" width="28.44140625" style="1" bestFit="1" customWidth="1"/>
    <col min="16" max="16" width="14.5546875" bestFit="1" customWidth="1"/>
    <col min="17" max="17" width="26.33203125" customWidth="1"/>
    <col min="18" max="18" width="13.6640625" customWidth="1"/>
  </cols>
  <sheetData>
    <row r="2" spans="2:18" x14ac:dyDescent="0.3">
      <c r="I2" s="245" t="s">
        <v>177</v>
      </c>
      <c r="J2" s="245"/>
      <c r="K2" s="245" t="s">
        <v>178</v>
      </c>
      <c r="L2" s="245"/>
      <c r="M2" s="90"/>
      <c r="N2" s="245" t="s">
        <v>179</v>
      </c>
      <c r="O2" s="245"/>
      <c r="P2" s="245" t="s">
        <v>180</v>
      </c>
      <c r="Q2" s="245"/>
    </row>
    <row r="3" spans="2:18" x14ac:dyDescent="0.3">
      <c r="B3" s="2" t="s">
        <v>171</v>
      </c>
      <c r="C3" s="2" t="s">
        <v>172</v>
      </c>
      <c r="D3" s="2" t="s">
        <v>173</v>
      </c>
      <c r="E3" s="2" t="s">
        <v>174</v>
      </c>
      <c r="F3" s="2" t="s">
        <v>175</v>
      </c>
      <c r="G3" s="2" t="s">
        <v>176</v>
      </c>
      <c r="I3" s="4" t="s">
        <v>66</v>
      </c>
      <c r="J3" s="4" t="s">
        <v>67</v>
      </c>
      <c r="K3" s="78" t="s">
        <v>66</v>
      </c>
      <c r="L3" s="78" t="s">
        <v>67</v>
      </c>
      <c r="M3" s="91"/>
      <c r="N3" s="78" t="s">
        <v>66</v>
      </c>
      <c r="O3" s="78" t="s">
        <v>67</v>
      </c>
      <c r="P3" s="4" t="s">
        <v>66</v>
      </c>
      <c r="Q3" s="4" t="s">
        <v>67</v>
      </c>
    </row>
    <row r="4" spans="2:18" s="1" customFormat="1" x14ac:dyDescent="0.3">
      <c r="B4">
        <v>0</v>
      </c>
      <c r="C4">
        <v>0</v>
      </c>
      <c r="D4">
        <v>32</v>
      </c>
      <c r="E4" t="s">
        <v>151</v>
      </c>
      <c r="F4" s="1" t="s">
        <v>21</v>
      </c>
      <c r="G4" t="s">
        <v>23</v>
      </c>
      <c r="H4" s="20">
        <v>30</v>
      </c>
      <c r="I4" s="40" t="s">
        <v>19</v>
      </c>
      <c r="J4" s="13" t="s">
        <v>70</v>
      </c>
      <c r="K4" s="78" t="s">
        <v>25</v>
      </c>
      <c r="L4" s="13" t="s">
        <v>72</v>
      </c>
      <c r="M4" s="91"/>
      <c r="N4" s="78"/>
      <c r="O4" s="78"/>
      <c r="P4" s="40"/>
      <c r="Q4" s="13" t="s">
        <v>100</v>
      </c>
    </row>
    <row r="5" spans="2:18" x14ac:dyDescent="0.3">
      <c r="B5">
        <v>1</v>
      </c>
      <c r="C5">
        <v>2</v>
      </c>
      <c r="D5">
        <v>35</v>
      </c>
      <c r="E5" t="s">
        <v>152</v>
      </c>
      <c r="F5" s="1" t="s">
        <v>22</v>
      </c>
      <c r="G5" t="s">
        <v>24</v>
      </c>
      <c r="H5" s="20">
        <v>32</v>
      </c>
      <c r="I5" s="4" t="s">
        <v>19</v>
      </c>
      <c r="J5" s="13" t="s">
        <v>70</v>
      </c>
      <c r="K5" s="78" t="s">
        <v>25</v>
      </c>
      <c r="L5" s="13" t="s">
        <v>72</v>
      </c>
      <c r="M5" s="91"/>
      <c r="N5" s="78" t="s">
        <v>26</v>
      </c>
      <c r="O5" s="19" t="s">
        <v>74</v>
      </c>
      <c r="P5" s="4" t="s">
        <v>27</v>
      </c>
      <c r="Q5" s="13" t="s">
        <v>80</v>
      </c>
    </row>
    <row r="6" spans="2:18" x14ac:dyDescent="0.3">
      <c r="B6">
        <v>2</v>
      </c>
      <c r="C6">
        <f>C5+2</f>
        <v>4</v>
      </c>
      <c r="D6">
        <v>38</v>
      </c>
      <c r="H6" s="20">
        <v>35</v>
      </c>
      <c r="I6" s="4" t="s">
        <v>19</v>
      </c>
      <c r="J6" s="13" t="s">
        <v>70</v>
      </c>
      <c r="K6" s="78" t="s">
        <v>25</v>
      </c>
      <c r="L6" s="13" t="s">
        <v>72</v>
      </c>
      <c r="M6" s="91"/>
      <c r="N6" s="78" t="s">
        <v>20</v>
      </c>
      <c r="O6" s="13" t="s">
        <v>75</v>
      </c>
      <c r="P6" s="4" t="s">
        <v>28</v>
      </c>
      <c r="Q6" s="13" t="s">
        <v>82</v>
      </c>
    </row>
    <row r="7" spans="2:18" x14ac:dyDescent="0.3">
      <c r="B7">
        <v>3</v>
      </c>
      <c r="C7" s="1">
        <f t="shared" ref="C7:C44" si="0">C6+2</f>
        <v>6</v>
      </c>
      <c r="D7">
        <v>40</v>
      </c>
      <c r="H7" s="20">
        <v>38</v>
      </c>
      <c r="I7" s="4" t="s">
        <v>19</v>
      </c>
      <c r="J7" s="13" t="s">
        <v>70</v>
      </c>
      <c r="K7" s="78" t="s">
        <v>25</v>
      </c>
      <c r="L7" s="13" t="s">
        <v>72</v>
      </c>
      <c r="M7" s="91"/>
      <c r="N7" s="78" t="s">
        <v>29</v>
      </c>
      <c r="O7" s="19" t="s">
        <v>76</v>
      </c>
      <c r="P7" s="4" t="s">
        <v>30</v>
      </c>
      <c r="Q7" s="19" t="s">
        <v>83</v>
      </c>
    </row>
    <row r="8" spans="2:18" x14ac:dyDescent="0.3">
      <c r="B8">
        <v>4</v>
      </c>
      <c r="C8" s="1">
        <f t="shared" si="0"/>
        <v>8</v>
      </c>
      <c r="D8">
        <v>42</v>
      </c>
      <c r="H8" s="20">
        <v>40</v>
      </c>
      <c r="I8" s="4" t="s">
        <v>19</v>
      </c>
      <c r="J8" s="13" t="s">
        <v>70</v>
      </c>
      <c r="K8" s="78" t="s">
        <v>25</v>
      </c>
      <c r="L8" s="13" t="s">
        <v>72</v>
      </c>
      <c r="M8" s="91"/>
      <c r="N8" s="78" t="s">
        <v>31</v>
      </c>
      <c r="O8" s="13" t="s">
        <v>77</v>
      </c>
      <c r="P8" s="4" t="s">
        <v>32</v>
      </c>
      <c r="Q8" s="13" t="s">
        <v>84</v>
      </c>
    </row>
    <row r="9" spans="2:18" x14ac:dyDescent="0.3">
      <c r="B9">
        <v>5</v>
      </c>
      <c r="C9" s="1">
        <f t="shared" si="0"/>
        <v>10</v>
      </c>
      <c r="D9">
        <v>46</v>
      </c>
      <c r="H9" s="20">
        <v>42</v>
      </c>
      <c r="I9" s="4" t="s">
        <v>33</v>
      </c>
      <c r="J9" s="19" t="s">
        <v>71</v>
      </c>
      <c r="K9" s="78" t="s">
        <v>34</v>
      </c>
      <c r="L9" s="13" t="s">
        <v>73</v>
      </c>
      <c r="M9" s="91"/>
      <c r="N9" s="78" t="s">
        <v>35</v>
      </c>
      <c r="O9" s="19" t="s">
        <v>78</v>
      </c>
      <c r="P9" s="4" t="s">
        <v>36</v>
      </c>
      <c r="Q9" s="19" t="s">
        <v>85</v>
      </c>
    </row>
    <row r="10" spans="2:18" x14ac:dyDescent="0.3">
      <c r="B10">
        <v>6</v>
      </c>
      <c r="C10" s="1">
        <f t="shared" si="0"/>
        <v>12</v>
      </c>
      <c r="H10" s="20">
        <v>46</v>
      </c>
      <c r="I10" s="4" t="s">
        <v>33</v>
      </c>
      <c r="J10" s="19" t="s">
        <v>71</v>
      </c>
      <c r="K10" s="78" t="s">
        <v>34</v>
      </c>
      <c r="L10" s="13" t="s">
        <v>73</v>
      </c>
      <c r="M10" s="91"/>
      <c r="N10" s="78" t="s">
        <v>37</v>
      </c>
      <c r="O10" s="19" t="s">
        <v>79</v>
      </c>
      <c r="P10" s="4" t="s">
        <v>38</v>
      </c>
      <c r="Q10" s="19" t="s">
        <v>86</v>
      </c>
    </row>
    <row r="11" spans="2:18" x14ac:dyDescent="0.3">
      <c r="B11">
        <v>7</v>
      </c>
      <c r="C11" s="1">
        <f t="shared" si="0"/>
        <v>14</v>
      </c>
    </row>
    <row r="12" spans="2:18" x14ac:dyDescent="0.3">
      <c r="B12">
        <v>8</v>
      </c>
      <c r="C12" s="1">
        <f t="shared" si="0"/>
        <v>16</v>
      </c>
      <c r="I12" s="45" t="s">
        <v>181</v>
      </c>
      <c r="J12" s="46"/>
      <c r="K12" s="46"/>
      <c r="L12" s="46"/>
      <c r="M12" s="46"/>
      <c r="N12" s="46"/>
      <c r="O12" s="46"/>
      <c r="P12" s="46"/>
      <c r="Q12" s="46"/>
    </row>
    <row r="13" spans="2:18" ht="15" thickBot="1" x14ac:dyDescent="0.35">
      <c r="B13">
        <v>9</v>
      </c>
      <c r="C13" s="1">
        <f t="shared" si="0"/>
        <v>18</v>
      </c>
    </row>
    <row r="14" spans="2:18" ht="15" thickBot="1" x14ac:dyDescent="0.35">
      <c r="B14">
        <v>10</v>
      </c>
      <c r="C14" s="1">
        <f t="shared" si="0"/>
        <v>20</v>
      </c>
      <c r="I14" s="48" t="s">
        <v>102</v>
      </c>
      <c r="J14" s="47"/>
      <c r="K14" s="92" t="s">
        <v>183</v>
      </c>
      <c r="L14" s="92" t="s">
        <v>184</v>
      </c>
      <c r="M14" s="93" t="s">
        <v>219</v>
      </c>
      <c r="N14" s="94" t="s">
        <v>185</v>
      </c>
      <c r="O14" s="51" t="s">
        <v>182</v>
      </c>
      <c r="P14" s="51"/>
      <c r="Q14" s="69" t="s">
        <v>192</v>
      </c>
      <c r="R14" s="1"/>
    </row>
    <row r="15" spans="2:18" ht="29.4" customHeight="1" x14ac:dyDescent="0.3">
      <c r="B15">
        <v>11</v>
      </c>
      <c r="C15" s="1">
        <f t="shared" si="0"/>
        <v>22</v>
      </c>
      <c r="I15" s="62" t="s">
        <v>186</v>
      </c>
      <c r="J15" s="66">
        <f>IF(Dimensionnement!D11&lt;&gt;E4,0,Dimensionnement!H7*Dimensionnement!G15+22*(Dimensionnement!H7-1)+76)</f>
        <v>54</v>
      </c>
      <c r="K15" s="95">
        <f>IF(Dimensionnement!$D$11&lt;&gt;E4,0,IF(AND(J19=2400,J20=0),(INT(J15/J19)+1)*2*Dimensionnement!H8,IF(AND(J19=2400,J20&lt;&gt;0,MOD(J15,J19)&lt;=J21,J15&gt;54),(INT(J15/J19)-1)*2*Dimensionnement!H8,IF(AND(J19=2400,J20&lt;&gt;0,MOD(J15,J19)&gt;J21),(INT(J15/J19)+1)*2*Dimensionnement!H8,IF(AND(J19&lt;&gt;2400,J20=2400,MOD(J15,J19)&lt;=2400,J15&gt;54),2*Dimensionnement!H8,0)))))</f>
        <v>0</v>
      </c>
      <c r="L15" s="98">
        <f>IF(Dimensionnement!$D$11&lt;&gt;E4,0,IF(AND(J19=3150,J20=0),(INT(J15/J19)+1)*2*Dimensionnement!H8,IF(AND(J19=3150,J20=3580,MOD(J15,J19)&lt;=J21,J15&gt;54),(INT(J15/J19)-1)*2*Dimensionnement!H8,IF(AND(J19=3150,J20=3580,MOD(J15,J19)&gt;J21),(INT(J15/J19)+1)*2*Dimensionnement!H8, IF(AND(J19=3150,J20=2400,MOD(J15,J19)&lt;=2400,J15&gt;54),INT(J15/J19)*2*Dimensionnement!H8,IF(AND(J19=3150,J20=2400,MOD(J15,J19)&gt;2400),(INT(J15/J19)+1)*2*Dimensionnement!H8,IF(AND(J19=2400,J20=3150,MOD(J15,J19)&lt;=J21,J15&gt;54),2*Dimensionnement!H8,IF(AND(J19=3580,J20=3150,MOD(J15,J19)&lt;=3150,J15&gt;54),2*Dimensionnement!H8,0))))))))</f>
        <v>0</v>
      </c>
      <c r="M15" s="65">
        <f>IF(Dimensionnement!$D$11&lt;&gt;E4,0,IF(AND(J19=3580,J20=0),(INT(J15/J19)+1)*2*Dimensionnement!H8,IF(AND(J19=3580,J20&lt;&gt;0,MOD(J15,J19)&lt;=J20,J15&gt;54),INT(J15/J19)*2*Dimensionnement!H8,IF(AND(J19=3580,J20&lt;&gt;0,MOD(J15,J19)&gt;J20), (INT(J15/J19)+1)*2*Dimensionnement!H8, IF(AND(J19&lt;&gt;3580,J20=3580,MOD(J15,J19)&lt;=J21,J15&gt;54),2*Dimensionnement!H8,0)))))</f>
        <v>0</v>
      </c>
      <c r="N15" s="53">
        <f>IF(SUM(K15,M15)&lt;&gt;0,SUM(K15:M15)-2,0)</f>
        <v>0</v>
      </c>
      <c r="O15" s="70" t="s">
        <v>190</v>
      </c>
      <c r="P15" s="73">
        <f>IF(Dimensionnement!D11&lt;&gt;E5,0,IF(Dimensionnement!H7=0,0,Dimensionnement!H7*Dimensionnement!G15+10*(Dimensionnement!H7-1)))</f>
        <v>0</v>
      </c>
      <c r="Q15" s="66">
        <f>IF(Dimensionnement!$D$11&lt;&gt;E5,0, IF(P15&lt;&gt;0, (INT(P15/P19)+1)*2*Dimensionnement!H8,0))</f>
        <v>0</v>
      </c>
      <c r="R15" s="1"/>
    </row>
    <row r="16" spans="2:18" ht="28.8" x14ac:dyDescent="0.3">
      <c r="B16">
        <v>12</v>
      </c>
      <c r="C16" s="1">
        <f t="shared" si="0"/>
        <v>24</v>
      </c>
      <c r="I16" s="63" t="s">
        <v>214</v>
      </c>
      <c r="J16" s="67">
        <f>IF(Dimensionnement!D11&lt;&gt;E4,0,IF(Dimensionnement!E7=0,54,2*Dimensionnement!G15+22*(2-1)+76))</f>
        <v>54</v>
      </c>
      <c r="K16" s="96">
        <f>IF(Dimensionnement!$D$11&lt;&gt;E4,0,IF(AND(J19=2400,J20=0),(INT(J16/J19)+1)*2*Dimensionnement!E7,IF(AND(J19=2400,J20&lt;&gt;0,MOD(J16,J19)&lt;=J21,J16&gt;54),(INT(J16/J19)-1)*2*Dimensionnement!E7,IF(AND(J19=2400,J20&lt;&gt;0,MOD(J16,J19)&gt;J21),(INT(J16/J19)+1)*2*Dimensionnement!E7,IF(AND(J19&lt;&gt;2400,J20=2400,MOD(J16,J19)&lt;=2400,J16&gt;54),2*Dimensionnement!E7,0)))))</f>
        <v>0</v>
      </c>
      <c r="L16" s="52">
        <f>IF(Dimensionnement!$D$11&lt;&gt;E4,0,IF(AND(J19=3150,J20=0),(INT(J15/J19)+1)*2*Dimensionnement!E7,IF(AND(J19=3150,J20=3580,MOD(J15,J19)&lt;=J21,J15&gt;54),(INT(J15/J19)-1)*2*Dimensionnement!E7,IF(AND(J19=3150,J20=3580,MOD(J15,J19)&gt;J21),(INT(J15/J19)+1)*2*Dimensionnement!E7, IF(AND(J19=3150,J20=2400,MOD(J15,J19)&lt;=2400,J15&gt;54),INT(J15/J19)*2*Dimensionnement!E7,IF(AND(J19=3150,J20=2400,MOD(J15,J19)&gt;2400),(INT(J15/J19)+1)*2*Dimensionnement!E7,IF(AND(J19=2400,J20=3150,MOD(J15,J19)&lt;=J21,J15&gt;54),2*Dimensionnement!E7,IF(AND(J19=3580,J20=3150,MOD(J15,J19)&lt;=3150,J15&gt;54),2*Dimensionnement!E7,0))))))))</f>
        <v>0</v>
      </c>
      <c r="M16" s="52">
        <f>IF(Dimensionnement!$D$11&lt;&gt;E4,0,IF(AND(J19=3580,J20=0),(INT(J16/J19)+1)*2*Dimensionnement!E7,IF(AND(J19=3580,J20&lt;&gt;0,MOD(J16,J19)&lt;=3150,J16&gt;54),INT(J16/J19)*2*Dimensionnement!E7,IF(AND(J19=3580,J20&lt;&gt;0,MOD(J16,J19)&gt;3150), (INT(J16/J19)+1)*2*Dimensionnement!E7, IF(AND(J19&lt;&gt;3580,J20=3580,MOD(J16,J19)&lt;=J21,J16&gt;54),2*Dimensionnement!E7,0)))))</f>
        <v>0</v>
      </c>
      <c r="N16" s="59">
        <f>IF(SUM(K16,M16)&lt;&gt;0,SUM(K16:M16)-2,0)</f>
        <v>0</v>
      </c>
      <c r="O16" s="71" t="s">
        <v>220</v>
      </c>
      <c r="P16" s="67">
        <f>IF(Dimensionnement!D11&lt;&gt;E5,0,IF(Dimensionnement!E7=0,0,2*Dimensionnement!G15+10*(2-1)))</f>
        <v>0</v>
      </c>
      <c r="Q16" s="76">
        <f>IF(Dimensionnement!$D$11&lt;&gt;E5,0, IF(P16&lt;&gt;0, (INT(P16/P19)+1)*2*Dimensionnement!E7,0))</f>
        <v>0</v>
      </c>
      <c r="R16" s="1"/>
    </row>
    <row r="17" spans="2:18" ht="28.8" x14ac:dyDescent="0.3">
      <c r="B17">
        <v>13</v>
      </c>
      <c r="C17" s="1">
        <f>C16+2</f>
        <v>26</v>
      </c>
      <c r="I17" s="63" t="s">
        <v>215</v>
      </c>
      <c r="J17" s="67">
        <f>IF(Dimensionnement!D11&lt;&gt;E4,0,IF(Dimensionnement!E8=0,54,4*Dimensionnement!G15+22*(4-1)+76))</f>
        <v>54</v>
      </c>
      <c r="K17" s="96">
        <f>IF(Dimensionnement!$D$11&lt;&gt;E4,0,IF(AND(J19=2400,J20=0),(INT(J17/J19)+1)*2*Dimensionnement!E8,IF(AND(J19=2400,J20&lt;&gt;0,MOD(J17,J19)&lt;=J21,J17&gt;54),(INT(J17/J19)-1)*2*Dimensionnement!E8,IF(AND(J19=2400,J20&lt;&gt;0,MOD(J17,J19)&gt;J21),(INT(J17/J19)+1)*2*Dimensionnement!E8,IF(AND(J19&lt;&gt;2400,J20=2400,MOD(J17,J19)&lt;=2400,J17&gt;54),2*Dimensionnement!E8,0)))))</f>
        <v>0</v>
      </c>
      <c r="L17" s="52">
        <f>IF(Dimensionnement!$D$11&lt;&gt;E4,0,IF(AND(J19=3150,J20=0),(INT(J17/J19)+1)*2*Dimensionnement!E8,IF(AND(J19=3150,J20=3580,MOD(J17,J19)&lt;=J21,J17&gt;54),(INT(J17/J19)-1)*2*Dimensionnement!E8,IF(AND(J19=3150,J20=3580,MOD(J17,J19)&gt;J21),(INT(J17/J19)+1)*2*Dimensionnement!E8, IF(AND(J19=3150,J20=2400,MOD(J17,J19)&lt;=2400,J17&gt;54),INT(J17/J19)*2*Dimensionnement!E8,IF(AND(J19=3150,J20=2400,MOD(J17,J19)&gt;2400),(INT(J17/J19)+1)*2*Dimensionnement!E8,IF(AND(J19=2400,J20=3150,MOD(J17,J19)&lt;=J21,J17&gt;54),2*Dimensionnement!E8,IF(AND(J19=3580,J20=3150,MOD(J17,J19)&lt;=3150,J17&gt;54),2*Dimensionnement!E8,0))))))))</f>
        <v>0</v>
      </c>
      <c r="M17" s="52">
        <f>IF(Dimensionnement!$D$11&lt;&gt;E4,0,IF(AND(J19=3580,J20=0),(INT(J17/J19)+1)*2*Dimensionnement!E8,IF(AND(J19=3580,J20&lt;&gt;0,MOD(J17,J19)&lt;=3150,J17&gt;54),INT(J17/J19)*2*Dimensionnement!E8,IF(AND(J19=3580,J20&lt;&gt;0,MOD(J17,J19)&gt;3150), (INT(J17/J19)+1)*2*Dimensionnement!E8, IF(AND(J19&lt;&gt;3580,J20=3580,MOD(J17,J19)&lt;=J21,J17&gt;54),2*Dimensionnement!E8,0)))))</f>
        <v>0</v>
      </c>
      <c r="N17" s="59">
        <f>IF(SUM(K17,M17)&lt;&gt;0,SUM(K17:M17)-2,0)</f>
        <v>0</v>
      </c>
      <c r="O17" s="71" t="s">
        <v>221</v>
      </c>
      <c r="P17" s="74">
        <f>IF(Dimensionnement!D11&lt;&gt;E5,0,IF(Dimensionnement!E8=0,0,4*Dimensionnement!G15+10*(4-1)))</f>
        <v>0</v>
      </c>
      <c r="Q17" s="76">
        <f>IF(Dimensionnement!$D$11&lt;&gt;E5,0, IF(P17&lt;&gt;0, (INT(P17/P19)+1)*2*Dimensionnement!E8,0))</f>
        <v>0</v>
      </c>
      <c r="R17" s="1"/>
    </row>
    <row r="18" spans="2:18" ht="29.4" thickBot="1" x14ac:dyDescent="0.35">
      <c r="B18">
        <v>14</v>
      </c>
      <c r="C18" s="1">
        <f>C17+2</f>
        <v>28</v>
      </c>
      <c r="I18" s="64" t="s">
        <v>216</v>
      </c>
      <c r="J18" s="68">
        <f>IF(Dimensionnement!D11&lt;&gt;E4,0,IF(Dimensionnement!E9=0,54,6*Dimensionnement!G15+22*(6-1)+76))</f>
        <v>54</v>
      </c>
      <c r="K18" s="97">
        <f>IF(Dimensionnement!$D$11&lt;&gt;E4,0,IF(AND(J19=2400,J20=0),(INT(J18/J19)+1)*2*Dimensionnement!E9,IF(AND(J19=2400,J20&lt;&gt;0,MOD(J18,J19)&lt;=J21,J18&gt;54),(INT(J18/J19)-1)*2*Dimensionnement!E9,IF(AND(J19=2400,J20&lt;&gt;0,MOD(J18,J19)&gt;J21),(INT(J18/J19)+1)*2*Dimensionnement!E9,IF(AND(J19&lt;&gt;2400,J20=2400,MOD(J18,J19)&lt;=2400,J18&gt;54),2*Dimensionnement!E9,0)))))</f>
        <v>0</v>
      </c>
      <c r="L18" s="60">
        <f>IF(Dimensionnement!$D$11&lt;&gt;E4,0,IF(AND(J19=3150,J20=0),(INT(J18/J19)+1)*2*Dimensionnement!E9,IF(AND(J19=3150,J20=3580,MOD(J18,J19)&lt;=J21,J18&gt;54),(INT(J18/J19)-1)*2*Dimensionnement!E9,IF(AND(J18=3150,J20=3580,MOD(J18,J19)&gt;J21),(INT(J18/J19)+1)*2*Dimensionnement!E9, IF(AND(J19=3150,J20=2400,MOD(J18,J19)&lt;=2400,J18&gt;54),INT(J18/J19)*2*Dimensionnement!E9,IF(AND(J19=3150,J20=2400,MOD(J18,J19)&gt;2400),(INT(J18/J19)+1)*2*Dimensionnement!E9,IF(AND(J19=2400,J20=3150,MOD(J18,J19)&lt;=J21,J18&gt;54),2*Dimensionnement!E9,IF(AND(J19=3580,J20=3150,MOD(J18,J19)&lt;=3150,J18&gt;54),2*Dimensionnement!E9,0))))))))</f>
        <v>0</v>
      </c>
      <c r="M18" s="60">
        <f>IF(Dimensionnement!$D$11&lt;&gt;E4,0,IF(AND(J19=3580,J20=0),(INT(J18/J19)+1)*2*Dimensionnement!E9,IF(AND(J19=3580,J20&lt;&gt;0,MOD(J18,J19)&lt;=3150,J18&gt;54),INT(J18/J19)*2*Dimensionnement!E9,IF(AND(J19=3580,J20&lt;&gt;0,MOD(J18,J19)&gt;3150), (INT(J18/J19)+1)*2*Dimensionnement!E9, IF(AND(J19&lt;&gt;3580,J20=3580,MOD(J18,J19)&lt;=J21,J18&gt;54),2*Dimensionnement!E9,0)))))</f>
        <v>0</v>
      </c>
      <c r="N18" s="61">
        <f>IF(SUM(K18,M18)&lt;&gt;0,SUM(K18:M18)-2,0)</f>
        <v>0</v>
      </c>
      <c r="O18" s="72" t="s">
        <v>222</v>
      </c>
      <c r="P18" s="75">
        <f>IF(Dimensionnement!D11&lt;&gt;E5,0,IF(Dimensionnement!E9=0,0,6*Dimensionnement!G15+10*(6-1)))</f>
        <v>0</v>
      </c>
      <c r="Q18" s="77">
        <f>IF(Dimensionnement!$D$11&lt;&gt;E5,0, IF(P18&lt;&gt;0, (INT(P18/P19)+1)*2*Dimensionnement!E9,0))</f>
        <v>0</v>
      </c>
      <c r="R18" s="1"/>
    </row>
    <row r="19" spans="2:18" ht="15" thickBot="1" x14ac:dyDescent="0.35">
      <c r="B19">
        <v>15</v>
      </c>
      <c r="C19" s="1">
        <f t="shared" si="0"/>
        <v>30</v>
      </c>
      <c r="I19" s="55" t="s">
        <v>187</v>
      </c>
      <c r="J19" s="58">
        <f>IF(Dimensionnement!D11=E5,0,IF(Dimensionnement!G20="2,10 m",2100,IF(Dimensionnement!G20="2,40 m",2400,IF(Dimensionnement!G20="3,15 m",3150))))</f>
        <v>2400</v>
      </c>
      <c r="K19" s="44"/>
      <c r="L19" s="44"/>
      <c r="M19" s="44"/>
      <c r="N19" s="44"/>
      <c r="O19" s="49" t="s">
        <v>191</v>
      </c>
      <c r="P19" s="50">
        <v>2320</v>
      </c>
      <c r="Q19" s="1"/>
      <c r="R19" s="1"/>
    </row>
    <row r="20" spans="2:18" ht="15" thickBot="1" x14ac:dyDescent="0.35">
      <c r="B20">
        <v>16</v>
      </c>
      <c r="C20" s="1">
        <f t="shared" si="0"/>
        <v>32</v>
      </c>
      <c r="I20" s="56" t="s">
        <v>188</v>
      </c>
      <c r="J20" s="57">
        <f>IF(Dimensionnement!D11=E5,0,IF(Dimensionnement!G21="2,10 m",2100,IF(Dimensionnement!G21="2,40 m",2400,IF(Dimensionnement!G21="3,15 m",3150,0))))</f>
        <v>0</v>
      </c>
      <c r="K20" s="44"/>
      <c r="L20" s="44"/>
      <c r="M20" s="44"/>
      <c r="N20" s="44"/>
      <c r="O20" s="244"/>
      <c r="P20" s="244"/>
      <c r="Q20" s="1"/>
      <c r="R20" s="1"/>
    </row>
    <row r="21" spans="2:18" ht="29.4" thickBot="1" x14ac:dyDescent="0.35">
      <c r="B21">
        <v>17</v>
      </c>
      <c r="C21" s="1">
        <f t="shared" si="0"/>
        <v>34</v>
      </c>
      <c r="I21" s="109" t="s">
        <v>189</v>
      </c>
      <c r="J21" s="110">
        <f>IF(J19&lt;J20, J20-J19,J19-J20)</f>
        <v>2400</v>
      </c>
      <c r="K21" s="44"/>
      <c r="L21" s="44"/>
      <c r="M21" s="44"/>
      <c r="N21" s="44"/>
    </row>
    <row r="22" spans="2:18" ht="29.4" customHeight="1" x14ac:dyDescent="0.3">
      <c r="B22">
        <v>18</v>
      </c>
      <c r="C22" s="1">
        <f t="shared" si="0"/>
        <v>36</v>
      </c>
      <c r="I22" s="244" t="s">
        <v>193</v>
      </c>
      <c r="J22" s="244"/>
      <c r="K22" s="44"/>
      <c r="L22" s="44"/>
      <c r="M22" s="44"/>
      <c r="N22" s="44"/>
    </row>
    <row r="23" spans="2:18" x14ac:dyDescent="0.3">
      <c r="B23">
        <v>19</v>
      </c>
      <c r="C23" s="1">
        <f t="shared" si="0"/>
        <v>38</v>
      </c>
    </row>
    <row r="24" spans="2:18" x14ac:dyDescent="0.3">
      <c r="B24">
        <v>20</v>
      </c>
      <c r="C24" s="1">
        <f t="shared" si="0"/>
        <v>40</v>
      </c>
    </row>
    <row r="25" spans="2:18" x14ac:dyDescent="0.3">
      <c r="B25">
        <v>21</v>
      </c>
      <c r="C25" s="1">
        <f t="shared" si="0"/>
        <v>42</v>
      </c>
      <c r="I25" t="s">
        <v>194</v>
      </c>
      <c r="J25" s="1" t="s">
        <v>195</v>
      </c>
    </row>
    <row r="26" spans="2:18" ht="14.4" customHeight="1" x14ac:dyDescent="0.3">
      <c r="B26">
        <v>22</v>
      </c>
      <c r="C26" s="1">
        <f t="shared" si="0"/>
        <v>44</v>
      </c>
      <c r="I26" s="1" t="s">
        <v>105</v>
      </c>
      <c r="J26" s="1" t="str">
        <f>IF(Dimensionnement!G20="2,40 m", "//","2,40 m")</f>
        <v>//</v>
      </c>
    </row>
    <row r="27" spans="2:18" x14ac:dyDescent="0.3">
      <c r="B27">
        <v>23</v>
      </c>
      <c r="C27" s="1">
        <f t="shared" si="0"/>
        <v>46</v>
      </c>
      <c r="I27" s="1" t="s">
        <v>106</v>
      </c>
      <c r="J27" s="1" t="str">
        <f>IF(Dimensionnement!G20="3,15 m", "//","3,15 m")</f>
        <v>3,15 m</v>
      </c>
      <c r="K27" s="54"/>
    </row>
    <row r="28" spans="2:18" x14ac:dyDescent="0.3">
      <c r="B28">
        <v>24</v>
      </c>
      <c r="C28" s="1">
        <f t="shared" si="0"/>
        <v>48</v>
      </c>
      <c r="I28" s="1" t="s">
        <v>218</v>
      </c>
      <c r="J28" s="1" t="str">
        <f>IF(Dimensionnement!G20="3,58 m", "//","3,58 m")</f>
        <v>3,58 m</v>
      </c>
      <c r="K28" s="54"/>
    </row>
    <row r="29" spans="2:18" x14ac:dyDescent="0.3">
      <c r="B29">
        <v>25</v>
      </c>
      <c r="C29" s="1">
        <f t="shared" si="0"/>
        <v>50</v>
      </c>
      <c r="J29" s="44"/>
      <c r="K29" s="54"/>
    </row>
    <row r="30" spans="2:18" x14ac:dyDescent="0.3">
      <c r="B30">
        <v>26</v>
      </c>
      <c r="C30" s="1">
        <f t="shared" si="0"/>
        <v>52</v>
      </c>
      <c r="J30" s="44"/>
      <c r="K30" s="54"/>
    </row>
    <row r="31" spans="2:18" x14ac:dyDescent="0.3">
      <c r="B31">
        <v>27</v>
      </c>
      <c r="C31" s="1">
        <f t="shared" si="0"/>
        <v>54</v>
      </c>
      <c r="J31" s="44"/>
      <c r="K31" s="54"/>
    </row>
    <row r="32" spans="2:18" x14ac:dyDescent="0.3">
      <c r="B32">
        <v>28</v>
      </c>
      <c r="C32" s="1">
        <f t="shared" si="0"/>
        <v>56</v>
      </c>
      <c r="J32" s="44"/>
      <c r="K32" s="54"/>
    </row>
    <row r="33" spans="2:3" x14ac:dyDescent="0.3">
      <c r="B33">
        <v>29</v>
      </c>
      <c r="C33" s="1">
        <f t="shared" si="0"/>
        <v>58</v>
      </c>
    </row>
    <row r="34" spans="2:3" x14ac:dyDescent="0.3">
      <c r="B34">
        <v>30</v>
      </c>
      <c r="C34" s="1">
        <f t="shared" si="0"/>
        <v>60</v>
      </c>
    </row>
    <row r="35" spans="2:3" x14ac:dyDescent="0.3">
      <c r="B35" s="1">
        <v>31</v>
      </c>
      <c r="C35" s="1">
        <f t="shared" si="0"/>
        <v>62</v>
      </c>
    </row>
    <row r="36" spans="2:3" x14ac:dyDescent="0.3">
      <c r="B36" s="1">
        <v>32</v>
      </c>
      <c r="C36" s="1">
        <f t="shared" si="0"/>
        <v>64</v>
      </c>
    </row>
    <row r="37" spans="2:3" x14ac:dyDescent="0.3">
      <c r="B37" s="1">
        <v>33</v>
      </c>
      <c r="C37" s="1">
        <f t="shared" si="0"/>
        <v>66</v>
      </c>
    </row>
    <row r="38" spans="2:3" x14ac:dyDescent="0.3">
      <c r="B38" s="1">
        <v>34</v>
      </c>
      <c r="C38" s="1">
        <f t="shared" si="0"/>
        <v>68</v>
      </c>
    </row>
    <row r="39" spans="2:3" x14ac:dyDescent="0.3">
      <c r="B39" s="1">
        <v>35</v>
      </c>
      <c r="C39" s="1">
        <f t="shared" si="0"/>
        <v>70</v>
      </c>
    </row>
    <row r="40" spans="2:3" x14ac:dyDescent="0.3">
      <c r="B40" s="1">
        <v>36</v>
      </c>
      <c r="C40" s="1">
        <f t="shared" si="0"/>
        <v>72</v>
      </c>
    </row>
    <row r="41" spans="2:3" x14ac:dyDescent="0.3">
      <c r="B41" s="1">
        <v>37</v>
      </c>
      <c r="C41" s="1">
        <f t="shared" si="0"/>
        <v>74</v>
      </c>
    </row>
    <row r="42" spans="2:3" x14ac:dyDescent="0.3">
      <c r="B42" s="1">
        <v>38</v>
      </c>
      <c r="C42" s="1">
        <f t="shared" si="0"/>
        <v>76</v>
      </c>
    </row>
    <row r="43" spans="2:3" x14ac:dyDescent="0.3">
      <c r="B43" s="1">
        <v>39</v>
      </c>
      <c r="C43" s="1">
        <f t="shared" si="0"/>
        <v>78</v>
      </c>
    </row>
    <row r="44" spans="2:3" x14ac:dyDescent="0.3">
      <c r="B44" s="1">
        <v>40</v>
      </c>
      <c r="C44" s="1">
        <f t="shared" si="0"/>
        <v>80</v>
      </c>
    </row>
    <row r="45" spans="2:3" x14ac:dyDescent="0.3">
      <c r="B45" s="1">
        <v>41</v>
      </c>
    </row>
    <row r="46" spans="2:3" x14ac:dyDescent="0.3">
      <c r="B46" s="1">
        <v>42</v>
      </c>
    </row>
    <row r="47" spans="2:3" x14ac:dyDescent="0.3">
      <c r="B47" s="1">
        <v>43</v>
      </c>
    </row>
    <row r="48" spans="2:3" x14ac:dyDescent="0.3">
      <c r="B48" s="1">
        <v>44</v>
      </c>
    </row>
    <row r="49" spans="2:2" x14ac:dyDescent="0.3">
      <c r="B49" s="1">
        <v>45</v>
      </c>
    </row>
    <row r="50" spans="2:2" x14ac:dyDescent="0.3">
      <c r="B50" s="1">
        <v>46</v>
      </c>
    </row>
    <row r="51" spans="2:2" x14ac:dyDescent="0.3">
      <c r="B51" s="1">
        <v>47</v>
      </c>
    </row>
    <row r="52" spans="2:2" x14ac:dyDescent="0.3">
      <c r="B52" s="1">
        <v>48</v>
      </c>
    </row>
    <row r="53" spans="2:2" x14ac:dyDescent="0.3">
      <c r="B53" s="1">
        <v>49</v>
      </c>
    </row>
    <row r="54" spans="2:2" x14ac:dyDescent="0.3">
      <c r="B54" s="1">
        <v>50</v>
      </c>
    </row>
    <row r="55" spans="2:2" x14ac:dyDescent="0.3">
      <c r="B55" s="1">
        <v>51</v>
      </c>
    </row>
    <row r="56" spans="2:2" x14ac:dyDescent="0.3">
      <c r="B56" s="1">
        <v>52</v>
      </c>
    </row>
    <row r="57" spans="2:2" x14ac:dyDescent="0.3">
      <c r="B57" s="1">
        <v>53</v>
      </c>
    </row>
    <row r="58" spans="2:2" x14ac:dyDescent="0.3">
      <c r="B58" s="1">
        <v>54</v>
      </c>
    </row>
    <row r="59" spans="2:2" x14ac:dyDescent="0.3">
      <c r="B59" s="1">
        <v>55</v>
      </c>
    </row>
    <row r="60" spans="2:2" x14ac:dyDescent="0.3">
      <c r="B60" s="1">
        <v>56</v>
      </c>
    </row>
    <row r="61" spans="2:2" x14ac:dyDescent="0.3">
      <c r="B61" s="1">
        <v>57</v>
      </c>
    </row>
    <row r="62" spans="2:2" x14ac:dyDescent="0.3">
      <c r="B62" s="1">
        <v>58</v>
      </c>
    </row>
    <row r="63" spans="2:2" x14ac:dyDescent="0.3">
      <c r="B63" s="1">
        <v>59</v>
      </c>
    </row>
    <row r="64" spans="2:2" x14ac:dyDescent="0.3">
      <c r="B64" s="1">
        <v>60</v>
      </c>
    </row>
    <row r="65" spans="2:2" x14ac:dyDescent="0.3">
      <c r="B65" s="1">
        <v>61</v>
      </c>
    </row>
    <row r="66" spans="2:2" x14ac:dyDescent="0.3">
      <c r="B66" s="1">
        <v>62</v>
      </c>
    </row>
    <row r="67" spans="2:2" x14ac:dyDescent="0.3">
      <c r="B67" s="1">
        <v>63</v>
      </c>
    </row>
    <row r="68" spans="2:2" x14ac:dyDescent="0.3">
      <c r="B68" s="1">
        <v>64</v>
      </c>
    </row>
    <row r="69" spans="2:2" x14ac:dyDescent="0.3">
      <c r="B69" s="1">
        <v>65</v>
      </c>
    </row>
    <row r="70" spans="2:2" x14ac:dyDescent="0.3">
      <c r="B70" s="1">
        <v>66</v>
      </c>
    </row>
    <row r="71" spans="2:2" x14ac:dyDescent="0.3">
      <c r="B71" s="1">
        <v>67</v>
      </c>
    </row>
    <row r="72" spans="2:2" x14ac:dyDescent="0.3">
      <c r="B72" s="1">
        <v>68</v>
      </c>
    </row>
    <row r="73" spans="2:2" x14ac:dyDescent="0.3">
      <c r="B73" s="1">
        <v>69</v>
      </c>
    </row>
    <row r="74" spans="2:2" x14ac:dyDescent="0.3">
      <c r="B74" s="1">
        <v>70</v>
      </c>
    </row>
    <row r="75" spans="2:2" x14ac:dyDescent="0.3">
      <c r="B75" s="1">
        <v>71</v>
      </c>
    </row>
    <row r="76" spans="2:2" x14ac:dyDescent="0.3">
      <c r="B76" s="1">
        <v>72</v>
      </c>
    </row>
    <row r="77" spans="2:2" x14ac:dyDescent="0.3">
      <c r="B77" s="1">
        <v>73</v>
      </c>
    </row>
    <row r="78" spans="2:2" x14ac:dyDescent="0.3">
      <c r="B78" s="1">
        <v>74</v>
      </c>
    </row>
    <row r="79" spans="2:2" x14ac:dyDescent="0.3">
      <c r="B79" s="1">
        <v>75</v>
      </c>
    </row>
    <row r="80" spans="2:2" x14ac:dyDescent="0.3">
      <c r="B80" s="1">
        <v>76</v>
      </c>
    </row>
    <row r="81" spans="2:2" x14ac:dyDescent="0.3">
      <c r="B81" s="1">
        <v>77</v>
      </c>
    </row>
    <row r="82" spans="2:2" x14ac:dyDescent="0.3">
      <c r="B82" s="1">
        <v>78</v>
      </c>
    </row>
    <row r="83" spans="2:2" x14ac:dyDescent="0.3">
      <c r="B83" s="1">
        <v>79</v>
      </c>
    </row>
    <row r="84" spans="2:2" x14ac:dyDescent="0.3">
      <c r="B84" s="1">
        <v>80</v>
      </c>
    </row>
    <row r="85" spans="2:2" x14ac:dyDescent="0.3">
      <c r="B85" s="1">
        <v>81</v>
      </c>
    </row>
    <row r="86" spans="2:2" x14ac:dyDescent="0.3">
      <c r="B86" s="1">
        <v>82</v>
      </c>
    </row>
    <row r="87" spans="2:2" x14ac:dyDescent="0.3">
      <c r="B87" s="1">
        <v>83</v>
      </c>
    </row>
    <row r="88" spans="2:2" x14ac:dyDescent="0.3">
      <c r="B88" s="1">
        <v>84</v>
      </c>
    </row>
    <row r="89" spans="2:2" x14ac:dyDescent="0.3">
      <c r="B89" s="1">
        <v>85</v>
      </c>
    </row>
    <row r="90" spans="2:2" x14ac:dyDescent="0.3">
      <c r="B90" s="1">
        <v>86</v>
      </c>
    </row>
    <row r="91" spans="2:2" x14ac:dyDescent="0.3">
      <c r="B91" s="1">
        <v>87</v>
      </c>
    </row>
    <row r="92" spans="2:2" x14ac:dyDescent="0.3">
      <c r="B92" s="1">
        <v>88</v>
      </c>
    </row>
    <row r="93" spans="2:2" x14ac:dyDescent="0.3">
      <c r="B93" s="1">
        <v>89</v>
      </c>
    </row>
    <row r="94" spans="2:2" x14ac:dyDescent="0.3">
      <c r="B94" s="1">
        <v>90</v>
      </c>
    </row>
    <row r="95" spans="2:2" x14ac:dyDescent="0.3">
      <c r="B95" s="1">
        <v>91</v>
      </c>
    </row>
    <row r="96" spans="2:2" x14ac:dyDescent="0.3">
      <c r="B96" s="1">
        <v>92</v>
      </c>
    </row>
    <row r="97" spans="2:2" x14ac:dyDescent="0.3">
      <c r="B97" s="1">
        <v>93</v>
      </c>
    </row>
    <row r="98" spans="2:2" x14ac:dyDescent="0.3">
      <c r="B98" s="1">
        <v>94</v>
      </c>
    </row>
    <row r="99" spans="2:2" x14ac:dyDescent="0.3">
      <c r="B99" s="1">
        <v>95</v>
      </c>
    </row>
    <row r="100" spans="2:2" x14ac:dyDescent="0.3">
      <c r="B100" s="1">
        <v>96</v>
      </c>
    </row>
    <row r="101" spans="2:2" x14ac:dyDescent="0.3">
      <c r="B101" s="1">
        <v>97</v>
      </c>
    </row>
    <row r="102" spans="2:2" x14ac:dyDescent="0.3">
      <c r="B102" s="1">
        <v>98</v>
      </c>
    </row>
    <row r="103" spans="2:2" x14ac:dyDescent="0.3">
      <c r="B103" s="1">
        <v>99</v>
      </c>
    </row>
    <row r="104" spans="2:2" x14ac:dyDescent="0.3">
      <c r="B104" s="1">
        <v>100</v>
      </c>
    </row>
    <row r="105" spans="2:2" x14ac:dyDescent="0.3">
      <c r="B105" s="1">
        <v>101</v>
      </c>
    </row>
    <row r="106" spans="2:2" x14ac:dyDescent="0.3">
      <c r="B106" s="1">
        <v>102</v>
      </c>
    </row>
    <row r="107" spans="2:2" x14ac:dyDescent="0.3">
      <c r="B107" s="1">
        <v>103</v>
      </c>
    </row>
    <row r="108" spans="2:2" x14ac:dyDescent="0.3">
      <c r="B108" s="1">
        <v>104</v>
      </c>
    </row>
    <row r="109" spans="2:2" x14ac:dyDescent="0.3">
      <c r="B109" s="1">
        <v>105</v>
      </c>
    </row>
    <row r="110" spans="2:2" x14ac:dyDescent="0.3">
      <c r="B110" s="1">
        <v>106</v>
      </c>
    </row>
    <row r="111" spans="2:2" x14ac:dyDescent="0.3">
      <c r="B111" s="1">
        <v>107</v>
      </c>
    </row>
    <row r="112" spans="2:2" x14ac:dyDescent="0.3">
      <c r="B112" s="1">
        <v>108</v>
      </c>
    </row>
    <row r="113" spans="2:2" x14ac:dyDescent="0.3">
      <c r="B113" s="1">
        <v>109</v>
      </c>
    </row>
    <row r="114" spans="2:2" x14ac:dyDescent="0.3">
      <c r="B114" s="1">
        <v>110</v>
      </c>
    </row>
    <row r="115" spans="2:2" x14ac:dyDescent="0.3">
      <c r="B115" s="1">
        <v>111</v>
      </c>
    </row>
    <row r="116" spans="2:2" x14ac:dyDescent="0.3">
      <c r="B116" s="1">
        <v>112</v>
      </c>
    </row>
    <row r="117" spans="2:2" x14ac:dyDescent="0.3">
      <c r="B117" s="1">
        <v>113</v>
      </c>
    </row>
    <row r="118" spans="2:2" x14ac:dyDescent="0.3">
      <c r="B118" s="1">
        <v>114</v>
      </c>
    </row>
    <row r="119" spans="2:2" x14ac:dyDescent="0.3">
      <c r="B119" s="1">
        <v>115</v>
      </c>
    </row>
    <row r="120" spans="2:2" x14ac:dyDescent="0.3">
      <c r="B120" s="1">
        <v>116</v>
      </c>
    </row>
    <row r="121" spans="2:2" x14ac:dyDescent="0.3">
      <c r="B121" s="1">
        <v>117</v>
      </c>
    </row>
    <row r="122" spans="2:2" x14ac:dyDescent="0.3">
      <c r="B122" s="1">
        <v>118</v>
      </c>
    </row>
    <row r="123" spans="2:2" x14ac:dyDescent="0.3">
      <c r="B123" s="1">
        <v>119</v>
      </c>
    </row>
    <row r="124" spans="2:2" x14ac:dyDescent="0.3">
      <c r="B124" s="1">
        <v>120</v>
      </c>
    </row>
    <row r="125" spans="2:2" x14ac:dyDescent="0.3">
      <c r="B125" s="1">
        <v>121</v>
      </c>
    </row>
    <row r="126" spans="2:2" x14ac:dyDescent="0.3">
      <c r="B126" s="1">
        <v>122</v>
      </c>
    </row>
    <row r="127" spans="2:2" x14ac:dyDescent="0.3">
      <c r="B127" s="1">
        <v>123</v>
      </c>
    </row>
    <row r="128" spans="2:2" x14ac:dyDescent="0.3">
      <c r="B128" s="1">
        <v>124</v>
      </c>
    </row>
    <row r="129" spans="2:2" x14ac:dyDescent="0.3">
      <c r="B129" s="1">
        <v>125</v>
      </c>
    </row>
    <row r="130" spans="2:2" x14ac:dyDescent="0.3">
      <c r="B130" s="1">
        <v>126</v>
      </c>
    </row>
    <row r="131" spans="2:2" x14ac:dyDescent="0.3">
      <c r="B131" s="1">
        <v>127</v>
      </c>
    </row>
    <row r="132" spans="2:2" x14ac:dyDescent="0.3">
      <c r="B132" s="1">
        <v>128</v>
      </c>
    </row>
    <row r="133" spans="2:2" x14ac:dyDescent="0.3">
      <c r="B133" s="1">
        <v>129</v>
      </c>
    </row>
    <row r="134" spans="2:2" x14ac:dyDescent="0.3">
      <c r="B134" s="1">
        <v>130</v>
      </c>
    </row>
    <row r="135" spans="2:2" x14ac:dyDescent="0.3">
      <c r="B135" s="1">
        <v>131</v>
      </c>
    </row>
    <row r="136" spans="2:2" x14ac:dyDescent="0.3">
      <c r="B136" s="1">
        <v>132</v>
      </c>
    </row>
    <row r="137" spans="2:2" x14ac:dyDescent="0.3">
      <c r="B137" s="1">
        <v>133</v>
      </c>
    </row>
    <row r="138" spans="2:2" x14ac:dyDescent="0.3">
      <c r="B138" s="1">
        <v>134</v>
      </c>
    </row>
    <row r="139" spans="2:2" x14ac:dyDescent="0.3">
      <c r="B139" s="1">
        <v>135</v>
      </c>
    </row>
    <row r="140" spans="2:2" x14ac:dyDescent="0.3">
      <c r="B140" s="1">
        <v>136</v>
      </c>
    </row>
    <row r="141" spans="2:2" x14ac:dyDescent="0.3">
      <c r="B141" s="1">
        <v>137</v>
      </c>
    </row>
    <row r="142" spans="2:2" x14ac:dyDescent="0.3">
      <c r="B142" s="1">
        <v>138</v>
      </c>
    </row>
    <row r="143" spans="2:2" x14ac:dyDescent="0.3">
      <c r="B143" s="1">
        <v>139</v>
      </c>
    </row>
    <row r="144" spans="2:2" x14ac:dyDescent="0.3">
      <c r="B144" s="1">
        <v>140</v>
      </c>
    </row>
    <row r="145" spans="2:2" x14ac:dyDescent="0.3">
      <c r="B145" s="1">
        <v>141</v>
      </c>
    </row>
    <row r="146" spans="2:2" x14ac:dyDescent="0.3">
      <c r="B146" s="1">
        <v>142</v>
      </c>
    </row>
    <row r="147" spans="2:2" x14ac:dyDescent="0.3">
      <c r="B147" s="1">
        <v>143</v>
      </c>
    </row>
    <row r="148" spans="2:2" x14ac:dyDescent="0.3">
      <c r="B148" s="1">
        <v>144</v>
      </c>
    </row>
    <row r="149" spans="2:2" x14ac:dyDescent="0.3">
      <c r="B149" s="1">
        <v>145</v>
      </c>
    </row>
    <row r="150" spans="2:2" x14ac:dyDescent="0.3">
      <c r="B150" s="1">
        <v>146</v>
      </c>
    </row>
    <row r="151" spans="2:2" x14ac:dyDescent="0.3">
      <c r="B151" s="1">
        <v>147</v>
      </c>
    </row>
    <row r="152" spans="2:2" x14ac:dyDescent="0.3">
      <c r="B152" s="1">
        <v>148</v>
      </c>
    </row>
    <row r="153" spans="2:2" x14ac:dyDescent="0.3">
      <c r="B153" s="1">
        <v>149</v>
      </c>
    </row>
    <row r="154" spans="2:2" x14ac:dyDescent="0.3">
      <c r="B154" s="1">
        <v>150</v>
      </c>
    </row>
    <row r="155" spans="2:2" x14ac:dyDescent="0.3">
      <c r="B155" s="1">
        <v>151</v>
      </c>
    </row>
    <row r="156" spans="2:2" x14ac:dyDescent="0.3">
      <c r="B156" s="1">
        <v>152</v>
      </c>
    </row>
    <row r="157" spans="2:2" x14ac:dyDescent="0.3">
      <c r="B157" s="1">
        <v>153</v>
      </c>
    </row>
    <row r="158" spans="2:2" x14ac:dyDescent="0.3">
      <c r="B158" s="1">
        <v>154</v>
      </c>
    </row>
    <row r="159" spans="2:2" x14ac:dyDescent="0.3">
      <c r="B159" s="1">
        <v>155</v>
      </c>
    </row>
    <row r="160" spans="2:2" x14ac:dyDescent="0.3">
      <c r="B160" s="1">
        <v>156</v>
      </c>
    </row>
    <row r="161" spans="2:2" x14ac:dyDescent="0.3">
      <c r="B161" s="1">
        <v>157</v>
      </c>
    </row>
    <row r="162" spans="2:2" x14ac:dyDescent="0.3">
      <c r="B162" s="1">
        <v>158</v>
      </c>
    </row>
    <row r="163" spans="2:2" x14ac:dyDescent="0.3">
      <c r="B163" s="1">
        <v>159</v>
      </c>
    </row>
    <row r="164" spans="2:2" x14ac:dyDescent="0.3">
      <c r="B164" s="1">
        <v>160</v>
      </c>
    </row>
    <row r="165" spans="2:2" x14ac:dyDescent="0.3">
      <c r="B165" s="1">
        <v>161</v>
      </c>
    </row>
    <row r="166" spans="2:2" x14ac:dyDescent="0.3">
      <c r="B166" s="1">
        <v>162</v>
      </c>
    </row>
    <row r="167" spans="2:2" x14ac:dyDescent="0.3">
      <c r="B167" s="1">
        <v>163</v>
      </c>
    </row>
    <row r="168" spans="2:2" x14ac:dyDescent="0.3">
      <c r="B168" s="1">
        <v>164</v>
      </c>
    </row>
    <row r="169" spans="2:2" x14ac:dyDescent="0.3">
      <c r="B169" s="1">
        <v>165</v>
      </c>
    </row>
    <row r="170" spans="2:2" x14ac:dyDescent="0.3">
      <c r="B170" s="1">
        <v>166</v>
      </c>
    </row>
    <row r="171" spans="2:2" x14ac:dyDescent="0.3">
      <c r="B171" s="1">
        <v>167</v>
      </c>
    </row>
    <row r="172" spans="2:2" x14ac:dyDescent="0.3">
      <c r="B172" s="1">
        <v>168</v>
      </c>
    </row>
    <row r="173" spans="2:2" x14ac:dyDescent="0.3">
      <c r="B173" s="1">
        <v>169</v>
      </c>
    </row>
    <row r="174" spans="2:2" x14ac:dyDescent="0.3">
      <c r="B174" s="1">
        <v>170</v>
      </c>
    </row>
    <row r="175" spans="2:2" x14ac:dyDescent="0.3">
      <c r="B175" s="1">
        <v>171</v>
      </c>
    </row>
    <row r="176" spans="2:2" x14ac:dyDescent="0.3">
      <c r="B176" s="1">
        <v>172</v>
      </c>
    </row>
    <row r="177" spans="2:2" x14ac:dyDescent="0.3">
      <c r="B177" s="1">
        <v>173</v>
      </c>
    </row>
    <row r="178" spans="2:2" x14ac:dyDescent="0.3">
      <c r="B178" s="1">
        <v>174</v>
      </c>
    </row>
    <row r="179" spans="2:2" x14ac:dyDescent="0.3">
      <c r="B179" s="1">
        <v>175</v>
      </c>
    </row>
    <row r="180" spans="2:2" x14ac:dyDescent="0.3">
      <c r="B180" s="1">
        <v>176</v>
      </c>
    </row>
    <row r="181" spans="2:2" x14ac:dyDescent="0.3">
      <c r="B181" s="1">
        <v>177</v>
      </c>
    </row>
    <row r="182" spans="2:2" x14ac:dyDescent="0.3">
      <c r="B182" s="1">
        <v>178</v>
      </c>
    </row>
    <row r="183" spans="2:2" x14ac:dyDescent="0.3">
      <c r="B183" s="1">
        <v>179</v>
      </c>
    </row>
    <row r="184" spans="2:2" x14ac:dyDescent="0.3">
      <c r="B184" s="1">
        <v>180</v>
      </c>
    </row>
    <row r="185" spans="2:2" x14ac:dyDescent="0.3">
      <c r="B185" s="1">
        <v>181</v>
      </c>
    </row>
    <row r="186" spans="2:2" x14ac:dyDescent="0.3">
      <c r="B186" s="1">
        <v>182</v>
      </c>
    </row>
    <row r="187" spans="2:2" x14ac:dyDescent="0.3">
      <c r="B187" s="1">
        <v>183</v>
      </c>
    </row>
    <row r="188" spans="2:2" x14ac:dyDescent="0.3">
      <c r="B188" s="1">
        <v>184</v>
      </c>
    </row>
    <row r="189" spans="2:2" x14ac:dyDescent="0.3">
      <c r="B189" s="1">
        <v>185</v>
      </c>
    </row>
    <row r="190" spans="2:2" x14ac:dyDescent="0.3">
      <c r="B190" s="1">
        <v>186</v>
      </c>
    </row>
    <row r="191" spans="2:2" x14ac:dyDescent="0.3">
      <c r="B191" s="1">
        <v>187</v>
      </c>
    </row>
    <row r="192" spans="2:2" x14ac:dyDescent="0.3">
      <c r="B192" s="1">
        <v>188</v>
      </c>
    </row>
    <row r="193" spans="2:2" x14ac:dyDescent="0.3">
      <c r="B193" s="1">
        <v>189</v>
      </c>
    </row>
    <row r="194" spans="2:2" x14ac:dyDescent="0.3">
      <c r="B194" s="1">
        <v>190</v>
      </c>
    </row>
    <row r="195" spans="2:2" x14ac:dyDescent="0.3">
      <c r="B195" s="1">
        <v>191</v>
      </c>
    </row>
    <row r="196" spans="2:2" x14ac:dyDescent="0.3">
      <c r="B196" s="1">
        <v>192</v>
      </c>
    </row>
    <row r="197" spans="2:2" x14ac:dyDescent="0.3">
      <c r="B197" s="1">
        <v>193</v>
      </c>
    </row>
    <row r="198" spans="2:2" x14ac:dyDescent="0.3">
      <c r="B198" s="1">
        <v>194</v>
      </c>
    </row>
    <row r="199" spans="2:2" x14ac:dyDescent="0.3">
      <c r="B199" s="1">
        <v>195</v>
      </c>
    </row>
    <row r="200" spans="2:2" x14ac:dyDescent="0.3">
      <c r="B200" s="1">
        <v>196</v>
      </c>
    </row>
    <row r="201" spans="2:2" x14ac:dyDescent="0.3">
      <c r="B201" s="1">
        <v>197</v>
      </c>
    </row>
    <row r="202" spans="2:2" x14ac:dyDescent="0.3">
      <c r="B202" s="1">
        <v>198</v>
      </c>
    </row>
    <row r="203" spans="2:2" x14ac:dyDescent="0.3">
      <c r="B203" s="1">
        <v>199</v>
      </c>
    </row>
    <row r="204" spans="2:2" x14ac:dyDescent="0.3">
      <c r="B204" s="1">
        <v>200</v>
      </c>
    </row>
  </sheetData>
  <dataConsolidate/>
  <mergeCells count="6">
    <mergeCell ref="I22:J22"/>
    <mergeCell ref="O20:P20"/>
    <mergeCell ref="I2:J2"/>
    <mergeCell ref="P2:Q2"/>
    <mergeCell ref="N2:O2"/>
    <mergeCell ref="K2:L2"/>
  </mergeCells>
  <phoneticPr fontId="12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2A8DB3BEA1A342B01BD64507D3F3CD" ma:contentTypeVersion="2" ma:contentTypeDescription="Crée un document." ma:contentTypeScope="" ma:versionID="2b83d46a8a39c861c9f918dd4b1a708d">
  <xsd:schema xmlns:xsd="http://www.w3.org/2001/XMLSchema" xmlns:xs="http://www.w3.org/2001/XMLSchema" xmlns:p="http://schemas.microsoft.com/office/2006/metadata/properties" xmlns:ns2="6cc1651c-b51b-4ec7-99c3-3c79cab22da0" targetNamespace="http://schemas.microsoft.com/office/2006/metadata/properties" ma:root="true" ma:fieldsID="2bb1792b6a71d6bc3494da7c5359b3de" ns2:_="">
    <xsd:import namespace="6cc1651c-b51b-4ec7-99c3-3c79cab22d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1651c-b51b-4ec7-99c3-3c79cab22d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6D0D53-89E9-4962-AD4F-0B7605154C64}">
  <ds:schemaRefs>
    <ds:schemaRef ds:uri="http://schemas.microsoft.com/office/2006/documentManagement/types"/>
    <ds:schemaRef ds:uri="http://purl.org/dc/terms/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c3628846-de76-4ccf-adff-aa786f2059ae"/>
    <ds:schemaRef ds:uri="7534ce43-38f2-4883-a02a-09724f484c16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580F9EB-147E-4F80-B4A6-6539EF6BF1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c1651c-b51b-4ec7-99c3-3c79cab22d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6EC3B24-4059-4900-861A-09D650419C8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Accueil</vt:lpstr>
      <vt:lpstr>Dimensionnement</vt:lpstr>
      <vt:lpstr>Logistique</vt:lpstr>
      <vt:lpstr>Données</vt:lpstr>
      <vt:lpstr>choix_etriers</vt:lpstr>
      <vt:lpstr>Nombre_kits</vt:lpstr>
      <vt:lpstr>Dimensionnement!Print_Area</vt:lpstr>
      <vt:lpstr>Ref_art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Quentin Legoff</dc:creator>
  <cp:lastModifiedBy>Paul Roberts</cp:lastModifiedBy>
  <cp:lastPrinted>2021-05-25T12:33:36Z</cp:lastPrinted>
  <dcterms:created xsi:type="dcterms:W3CDTF">2019-07-30T08:56:04Z</dcterms:created>
  <dcterms:modified xsi:type="dcterms:W3CDTF">2022-08-04T10:28:29Z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0x010100492A8DB3BEA1A342B01BD64507D3F3CD</vt:lpwstr>
  </property>
  <property fmtid="{D5CDD505-2E9C-101B-9397-08002B2CF9AE}" pid="3" name="_Level">
    <vt:i4>1</vt:i4>
  </property>
  <property fmtid="{D5CDD505-2E9C-101B-9397-08002B2CF9AE}" pid="4" name="Order">
    <vt:r8>23400</vt:r8>
  </property>
  <property fmtid="{D5CDD505-2E9C-101B-9397-08002B2CF9AE}" pid="5" name="_UIVersion">
    <vt:i4>6656</vt:i4>
  </property>
  <property fmtid="{D5CDD505-2E9C-101B-9397-08002B2CF9AE}" pid="6" name="WorkflowVersion">
    <vt:i4>1</vt:i4>
  </property>
  <property fmtid="{D5CDD505-2E9C-101B-9397-08002B2CF9AE}" pid="7" name="_IsCurrentVersion">
    <vt:bool>true</vt:bool>
  </property>
  <property fmtid="{D5CDD505-2E9C-101B-9397-08002B2CF9AE}" pid="8" name="_UIVersionString">
    <vt:lpwstr>13.0</vt:lpwstr>
  </property>
</Properties>
</file>